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/>
  </bookViews>
  <sheets>
    <sheet name="Женщины" sheetId="17" r:id="rId1"/>
    <sheet name="Мужчины группа А" sheetId="16" r:id="rId2"/>
    <sheet name="Мужчины группа В" sheetId="41" r:id="rId3"/>
    <sheet name="Мужчины группа С" sheetId="42" r:id="rId4"/>
    <sheet name="Мужчины плей-офф" sheetId="20" r:id="rId5"/>
    <sheet name="Двойка-смешанная группа А" sheetId="15" r:id="rId6"/>
    <sheet name="Двойка-смешанная группа В" sheetId="43" r:id="rId7"/>
    <sheet name="Спец.кубок" sheetId="24" r:id="rId8"/>
    <sheet name="Плей офф кубок А" sheetId="19" r:id="rId9"/>
    <sheet name="Плей офф кубок В" sheetId="44" r:id="rId10"/>
    <sheet name="Служебный лист" sheetId="4" state="hidden" r:id="rId11"/>
  </sheets>
  <calcPr calcId="114210"/>
</workbook>
</file>

<file path=xl/calcChain.xml><?xml version="1.0" encoding="utf-8"?>
<calcChain xmlns="http://schemas.openxmlformats.org/spreadsheetml/2006/main">
  <c r="F6" i="44"/>
  <c r="J10"/>
  <c r="F14"/>
  <c r="B20"/>
  <c r="F22"/>
  <c r="B24"/>
  <c r="G4" i="43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2"/>
  <c r="H4"/>
  <c r="I4"/>
  <c r="J4"/>
  <c r="G5"/>
  <c r="H5"/>
  <c r="I5"/>
  <c r="J5"/>
  <c r="K4"/>
  <c r="L5"/>
  <c r="F6"/>
  <c r="H6"/>
  <c r="I6"/>
  <c r="J6"/>
  <c r="F7"/>
  <c r="H7"/>
  <c r="I7"/>
  <c r="J7"/>
  <c r="K6"/>
  <c r="L7"/>
  <c r="F8"/>
  <c r="G8"/>
  <c r="I8"/>
  <c r="J8"/>
  <c r="F9"/>
  <c r="G9"/>
  <c r="I9"/>
  <c r="J9"/>
  <c r="K8"/>
  <c r="L9"/>
  <c r="F10"/>
  <c r="G10"/>
  <c r="H10"/>
  <c r="J10"/>
  <c r="F11"/>
  <c r="G11"/>
  <c r="H11"/>
  <c r="J11"/>
  <c r="K10"/>
  <c r="L11"/>
  <c r="F12"/>
  <c r="G12"/>
  <c r="H12"/>
  <c r="I12"/>
  <c r="F13"/>
  <c r="G13"/>
  <c r="H13"/>
  <c r="I13"/>
  <c r="K12"/>
  <c r="L13"/>
  <c r="C18"/>
  <c r="H18"/>
  <c r="C19"/>
  <c r="H19"/>
  <c r="C22"/>
  <c r="H22"/>
  <c r="C23"/>
  <c r="H23"/>
  <c r="C26"/>
  <c r="H26"/>
  <c r="C27"/>
  <c r="H27"/>
  <c r="C30"/>
  <c r="H30"/>
  <c r="C31"/>
  <c r="H31"/>
  <c r="C34"/>
  <c r="H34"/>
  <c r="C35"/>
  <c r="H35"/>
  <c r="G4" i="41"/>
  <c r="H4"/>
  <c r="I4"/>
  <c r="J4"/>
  <c r="G5"/>
  <c r="H5"/>
  <c r="I5"/>
  <c r="J5"/>
  <c r="K4"/>
  <c r="L5"/>
  <c r="F6"/>
  <c r="H6"/>
  <c r="I6"/>
  <c r="J6"/>
  <c r="F7"/>
  <c r="H7"/>
  <c r="I7"/>
  <c r="J7"/>
  <c r="K6"/>
  <c r="L7"/>
  <c r="F8"/>
  <c r="G8"/>
  <c r="I8"/>
  <c r="J8"/>
  <c r="F9"/>
  <c r="G9"/>
  <c r="I9"/>
  <c r="J9"/>
  <c r="K8"/>
  <c r="L9"/>
  <c r="F10"/>
  <c r="G10"/>
  <c r="H10"/>
  <c r="J10"/>
  <c r="F11"/>
  <c r="G11"/>
  <c r="H11"/>
  <c r="J11"/>
  <c r="K10"/>
  <c r="L11"/>
  <c r="F12"/>
  <c r="G12"/>
  <c r="H12"/>
  <c r="I12"/>
  <c r="F13"/>
  <c r="G13"/>
  <c r="H13"/>
  <c r="I13"/>
  <c r="K12"/>
  <c r="L13"/>
  <c r="C18"/>
  <c r="H18"/>
  <c r="C19"/>
  <c r="H19"/>
  <c r="C22"/>
  <c r="H22"/>
  <c r="C23"/>
  <c r="H23"/>
  <c r="C26"/>
  <c r="H26"/>
  <c r="C27"/>
  <c r="H27"/>
  <c r="C30"/>
  <c r="H30"/>
  <c r="C31"/>
  <c r="H31"/>
  <c r="C34"/>
  <c r="H34"/>
  <c r="C35"/>
  <c r="H35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AB23"/>
  <c r="P26"/>
  <c r="S15"/>
  <c r="M24"/>
  <c r="L26"/>
  <c r="N23"/>
  <c r="R20"/>
  <c r="Y23"/>
  <c r="N24"/>
  <c r="AA24"/>
  <c r="S12"/>
  <c r="Y26"/>
  <c r="AB22"/>
  <c r="AA11"/>
  <c r="AB16"/>
  <c r="X25"/>
  <c r="AB21"/>
  <c r="AB24"/>
  <c r="R19"/>
  <c r="R12"/>
  <c r="U24"/>
  <c r="R18"/>
  <c r="R24"/>
  <c r="R13"/>
  <c r="L23"/>
  <c r="AA19"/>
  <c r="V24"/>
  <c r="AA16"/>
  <c r="X23"/>
  <c r="AA25"/>
  <c r="N26"/>
  <c r="Y24"/>
  <c r="AA13"/>
  <c r="U25"/>
  <c r="V26"/>
  <c r="S14"/>
  <c r="AB25"/>
  <c r="R25"/>
  <c r="Z25"/>
  <c r="X26"/>
  <c r="S18"/>
  <c r="AB13"/>
  <c r="O23"/>
  <c r="S23"/>
  <c r="Z23"/>
  <c r="AA18"/>
  <c r="R21"/>
  <c r="Q24"/>
  <c r="AB11"/>
  <c r="S20"/>
  <c r="S22"/>
  <c r="U26"/>
  <c r="AA15"/>
  <c r="L25"/>
  <c r="AB19"/>
  <c r="S11"/>
  <c r="R17"/>
  <c r="R14"/>
  <c r="AA14"/>
  <c r="R16"/>
  <c r="R23"/>
  <c r="W24"/>
  <c r="V23"/>
  <c r="Q25"/>
  <c r="S21"/>
  <c r="P25"/>
  <c r="AA26"/>
  <c r="S24"/>
  <c r="W25"/>
  <c r="AA21"/>
  <c r="AA17"/>
  <c r="R11"/>
  <c r="R26"/>
  <c r="O24"/>
  <c r="V25"/>
  <c r="AA12"/>
  <c r="W26"/>
  <c r="M23"/>
  <c r="M26"/>
  <c r="S19"/>
  <c r="AB12"/>
  <c r="P23"/>
  <c r="R15"/>
  <c r="P24"/>
  <c r="U23"/>
  <c r="L24"/>
  <c r="W23"/>
  <c r="Q26"/>
  <c r="S16"/>
  <c r="Q23"/>
  <c r="Z26"/>
  <c r="M25"/>
  <c r="S13"/>
  <c r="AB20"/>
  <c r="N25"/>
  <c r="AA22"/>
  <c r="Z24"/>
  <c r="AA20"/>
  <c r="R22"/>
  <c r="S17"/>
  <c r="AB14"/>
  <c r="AB15"/>
  <c r="AA23"/>
  <c r="X24"/>
  <c r="R28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G8" i="24"/>
  <c r="F8"/>
  <c r="B27"/>
  <c r="B25"/>
  <c r="B23"/>
  <c r="H6"/>
  <c r="C20"/>
  <c r="C14"/>
  <c r="F9"/>
  <c r="H14"/>
  <c r="F6"/>
  <c r="G9"/>
  <c r="H17"/>
  <c r="J9"/>
  <c r="I8"/>
  <c r="H7"/>
  <c r="C17"/>
  <c r="G4"/>
  <c r="F7"/>
  <c r="H4"/>
  <c r="H20"/>
  <c r="I6"/>
  <c r="J7"/>
  <c r="H5"/>
  <c r="G5"/>
  <c r="I4"/>
  <c r="J5"/>
  <c r="F6" i="20"/>
  <c r="J10"/>
  <c r="F14"/>
  <c r="N18"/>
  <c r="F22"/>
  <c r="J26"/>
  <c r="F30"/>
  <c r="B36"/>
  <c r="F38"/>
  <c r="B40"/>
  <c r="H36" i="17"/>
  <c r="C32"/>
  <c r="I12"/>
  <c r="H6"/>
  <c r="H42"/>
  <c r="F10" i="15"/>
  <c r="I6" i="17"/>
  <c r="C20" i="15"/>
  <c r="G4" i="17"/>
  <c r="J6" i="16"/>
  <c r="G10"/>
  <c r="J4" i="17"/>
  <c r="G8" i="15"/>
  <c r="G4"/>
  <c r="G10"/>
  <c r="H25"/>
  <c r="C30" i="16"/>
  <c r="C27"/>
  <c r="J8" i="17"/>
  <c r="H21"/>
  <c r="K4"/>
  <c r="C35"/>
  <c r="H27"/>
  <c r="F6" i="16"/>
  <c r="J6" i="17"/>
  <c r="J10" i="16"/>
  <c r="I4" i="17"/>
  <c r="F10"/>
  <c r="I8" i="15"/>
  <c r="F12" i="16"/>
  <c r="J8"/>
  <c r="F6" i="17"/>
  <c r="H22" i="16"/>
  <c r="K8" i="17"/>
  <c r="H41"/>
  <c r="J10"/>
  <c r="C40"/>
  <c r="H40"/>
  <c r="H17" i="15"/>
  <c r="H10" i="16"/>
  <c r="C35"/>
  <c r="J14" i="17"/>
  <c r="H10" i="15"/>
  <c r="H6"/>
  <c r="C23" i="16"/>
  <c r="I4" i="15"/>
  <c r="H4" i="16"/>
  <c r="F8" i="17"/>
  <c r="H27" i="16"/>
  <c r="I6"/>
  <c r="H16" i="15"/>
  <c r="G12" i="16"/>
  <c r="C22"/>
  <c r="C16" i="15"/>
  <c r="C30" i="17"/>
  <c r="F14"/>
  <c r="H4"/>
  <c r="C34" i="16"/>
  <c r="G10" i="17"/>
  <c r="H35" i="16"/>
  <c r="F8" i="15"/>
  <c r="C20" i="17"/>
  <c r="C27"/>
  <c r="K6"/>
  <c r="C42"/>
  <c r="C26"/>
  <c r="F12"/>
  <c r="G8" i="16"/>
  <c r="H22" i="17"/>
  <c r="H12" i="16"/>
  <c r="I4"/>
  <c r="H25" i="17"/>
  <c r="H4" i="15"/>
  <c r="C25"/>
  <c r="I8" i="16"/>
  <c r="H19"/>
  <c r="H20" i="15"/>
  <c r="C25" i="17"/>
  <c r="C18" i="16"/>
  <c r="H31" i="17"/>
  <c r="H31" i="16"/>
  <c r="I12"/>
  <c r="H12" i="17"/>
  <c r="F8" i="16"/>
  <c r="H26" i="17"/>
  <c r="I6" i="15"/>
  <c r="C22" i="17"/>
  <c r="H32"/>
  <c r="F10" i="16"/>
  <c r="G14" i="17"/>
  <c r="H24" i="15"/>
  <c r="C41" i="17"/>
  <c r="H23" i="16"/>
  <c r="H20" i="17"/>
  <c r="H30"/>
  <c r="H30" i="16"/>
  <c r="C17" i="15"/>
  <c r="J4" i="16"/>
  <c r="C31"/>
  <c r="H18"/>
  <c r="C37" i="17"/>
  <c r="K10"/>
  <c r="G4" i="16"/>
  <c r="C24" i="15"/>
  <c r="G8" i="17"/>
  <c r="G12"/>
  <c r="I8"/>
  <c r="H35"/>
  <c r="C36"/>
  <c r="H26" i="16"/>
  <c r="C26"/>
  <c r="C21" i="17"/>
  <c r="H6" i="16"/>
  <c r="H21" i="15"/>
  <c r="K12" i="17"/>
  <c r="H37"/>
  <c r="H10"/>
  <c r="C31"/>
  <c r="C19" i="16"/>
  <c r="H14" i="17"/>
  <c r="I14"/>
  <c r="C21" i="15"/>
  <c r="H34" i="16"/>
  <c r="F6" i="15"/>
  <c r="A6" i="4"/>
  <c r="B6"/>
  <c r="C6"/>
  <c r="D6"/>
  <c r="E6"/>
  <c r="F1"/>
  <c r="J9" i="16"/>
  <c r="I7" i="15"/>
  <c r="K11" i="17"/>
  <c r="I7" i="16"/>
  <c r="I7" i="17"/>
  <c r="F11"/>
  <c r="H11" i="15"/>
  <c r="J15" i="17"/>
  <c r="G11" i="16"/>
  <c r="F15" i="17"/>
  <c r="F7" i="15"/>
  <c r="G9"/>
  <c r="J9" i="17"/>
  <c r="K7"/>
  <c r="I5"/>
  <c r="G15"/>
  <c r="J5"/>
  <c r="I13" i="16"/>
  <c r="K5" i="17"/>
  <c r="H11" i="16"/>
  <c r="I9" i="17"/>
  <c r="G13" i="16"/>
  <c r="F11" i="15"/>
  <c r="F13" i="16"/>
  <c r="G11" i="15"/>
  <c r="G9" i="16"/>
  <c r="F7" i="17"/>
  <c r="H7"/>
  <c r="H15"/>
  <c r="J7"/>
  <c r="H11"/>
  <c r="H5" i="16"/>
  <c r="G5"/>
  <c r="H13" i="17"/>
  <c r="I13"/>
  <c r="G11"/>
  <c r="J11" i="16"/>
  <c r="J5"/>
  <c r="H5" i="15"/>
  <c r="K13" i="17"/>
  <c r="J11"/>
  <c r="H7" i="16"/>
  <c r="I9"/>
  <c r="I5"/>
  <c r="J7"/>
  <c r="F9" i="15"/>
  <c r="G9" i="17"/>
  <c r="F11" i="16"/>
  <c r="I9" i="15"/>
  <c r="H13" i="16"/>
  <c r="F13" i="17"/>
  <c r="H5"/>
  <c r="I15"/>
  <c r="H7" i="15"/>
  <c r="F9" i="17"/>
  <c r="G13"/>
  <c r="G5"/>
  <c r="G5" i="15"/>
  <c r="F7" i="16"/>
  <c r="K9" i="17"/>
  <c r="I5" i="15"/>
  <c r="F9" i="16"/>
  <c r="L12" i="17"/>
  <c r="M13"/>
  <c r="L8"/>
  <c r="M9"/>
  <c r="L4"/>
  <c r="M5"/>
  <c r="K12" i="16"/>
  <c r="L13"/>
  <c r="K10"/>
  <c r="L11"/>
  <c r="K8"/>
  <c r="L9"/>
  <c r="K6"/>
  <c r="L7"/>
  <c r="K4"/>
  <c r="L5"/>
  <c r="J10" i="15"/>
  <c r="K11"/>
  <c r="J8"/>
  <c r="K9"/>
  <c r="J4"/>
  <c r="K5"/>
  <c r="L14" i="17"/>
  <c r="M15"/>
  <c r="L10"/>
  <c r="M11"/>
  <c r="M7"/>
  <c r="L6"/>
  <c r="J6" i="15"/>
  <c r="K7"/>
  <c r="A5" i="4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<sst xmlns="http://schemas.openxmlformats.org/spreadsheetml/2006/main" count="257" uniqueCount="67">
  <si>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</si>
  <si>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</si>
  <si>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</si>
  <si>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</si>
  <si>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</si>
  <si>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</si>
  <si>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</si>
  <si>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</si>
  <si>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</si>
  <si>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</si>
  <si>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</si>
  <si>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</si>
  <si>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x</t>
  </si>
  <si>
    <t>Корицкая Юлия</t>
  </si>
  <si>
    <t>Маркина Елена</t>
  </si>
  <si>
    <t>Серёгина Ольга</t>
  </si>
  <si>
    <t>Лукина Лариса</t>
  </si>
  <si>
    <t>Григорова Людмила</t>
  </si>
  <si>
    <t>Симутина Юлия</t>
  </si>
  <si>
    <t>Чемпионат ВФБ по боулспорту: петанк (женщины)</t>
  </si>
  <si>
    <t>Чемпионат ВФБ по боулспорту: петанк (мужчины) группа А</t>
  </si>
  <si>
    <t>Чемпионат ВФБ по боулспорту: петанк (мужчины) группа В</t>
  </si>
  <si>
    <t>Чемпионат ВФБ по боулспорту: петанк (мужчины) группа С</t>
  </si>
  <si>
    <t>Анухин Виктор</t>
  </si>
  <si>
    <t>Шубин Андрей</t>
  </si>
  <si>
    <t>Маркин Сергей</t>
  </si>
  <si>
    <t>Карасёв Виталий</t>
  </si>
  <si>
    <t>Рожков Дмитрий</t>
  </si>
  <si>
    <t>Капран-Индаяти Сергей</t>
  </si>
  <si>
    <t>Коржов Владимир</t>
  </si>
  <si>
    <t>Пиманов Николай</t>
  </si>
  <si>
    <t>Луданов Алексей</t>
  </si>
  <si>
    <t>Будяк Максим</t>
  </si>
  <si>
    <t>Майсов Антон</t>
  </si>
  <si>
    <t>Овчинников Тимофей</t>
  </si>
  <si>
    <t>Дорошенко Анатолий</t>
  </si>
  <si>
    <t>Лукин Сергей</t>
  </si>
  <si>
    <t>Шпилько Дмитрий</t>
  </si>
  <si>
    <t>Чемпионат ВФБ по боулспорту: петанк (мужчины)</t>
  </si>
  <si>
    <t>Анухин</t>
  </si>
  <si>
    <t>Карасёв</t>
  </si>
  <si>
    <t>Пиманов</t>
  </si>
  <si>
    <t>Лукин</t>
  </si>
  <si>
    <t>Шубин</t>
  </si>
  <si>
    <t>Коржов</t>
  </si>
  <si>
    <t>Овчинников</t>
  </si>
  <si>
    <t>Майсов</t>
  </si>
  <si>
    <t>Чемпионат ВФБ по боулспорту: петанк-двойка-смешанная группа А</t>
  </si>
  <si>
    <t>Лукин, Лукина</t>
  </si>
  <si>
    <t>Анухин, Григорова</t>
  </si>
  <si>
    <t>Дорошенко, Серёгина</t>
  </si>
  <si>
    <t>Карасёв, Симутина</t>
  </si>
  <si>
    <t>Чемпионат ВФБ по боулспорту: петанк-двойка-смешанная группа В</t>
  </si>
  <si>
    <t>Майсов, Корицская</t>
  </si>
  <si>
    <t>Капран-Индаяти, Маркина</t>
  </si>
  <si>
    <t>Коржов, Николаева</t>
  </si>
  <si>
    <t>Железняков, Турахаджаева</t>
  </si>
  <si>
    <t>Чемпионат ВФБ по боулспорту: петанк-двойка-смешанная кубок А</t>
  </si>
  <si>
    <t>Чемпионат ВФБ по боулспорту: петанк-двойка-смешанная кубок В</t>
  </si>
  <si>
    <t>Майсов, Корицкая</t>
  </si>
  <si>
    <t>Капран-Индаяти, Маркова</t>
  </si>
  <si>
    <t>Специальный кубок "С"</t>
  </si>
  <si>
    <t>Пиманов, Будяк</t>
  </si>
  <si>
    <t>Рожков, Луданов</t>
  </si>
  <si>
    <t>Овчинников, Шубин</t>
  </si>
  <si>
    <t>7--13</t>
  </si>
  <si>
    <t>13--8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</si>
</sst>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36"/>
      <color indexed="8"/>
      <name val="Cambria"/>
      <family val="1"/>
      <charset val="204"/>
    </font>
    <font>
      <b/>
      <sz val="18"/>
      <color indexed="8"/>
      <name val="Cambria"/>
      <family val="1"/>
      <charset val="204"/>
    </font>
    <font>
      <sz val="16"/>
      <color indexed="22"/>
      <name val="Calibri"/>
      <family val="2"/>
      <charset val="204"/>
    </font>
    <font>
      <b/>
      <sz val="16"/>
      <color indexed="8"/>
      <name val="Cambria"/>
      <family val="1"/>
      <charset val="204"/>
    </font>
    <font>
      <b/>
      <sz val="20"/>
      <color indexed="8"/>
      <name val="Cambria"/>
      <family val="1"/>
      <charset val="204"/>
    </font>
    <font>
      <sz val="8"/>
      <name val="Calibri"/>
      <family val="2"/>
      <charset val="204"/>
    </font>
    <font>
      <b/>
      <sz val="14"/>
      <color indexed="8"/>
      <name val="Cambria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0" xfId="0" applyFill="1"/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2"/>
  <sheetViews>
    <sheetView tabSelected="1" workbookViewId="0">
      <selection activeCell="B1" sqref="B1:K1"/>
    </sheetView>
  </sheetViews>
  <sheetFormatPr defaultRowHeight="15"/>
  <cols>
    <col min="1" max="1" width="4" style="28" customWidth="1"/>
    <col min="2" max="12" width="10.28515625" customWidth="1"/>
    <col min="13" max="13" width="10.28515625" style="36" customWidth="1"/>
    <col min="14" max="15" width="10.28515625" customWidth="1"/>
  </cols>
  <sheetData>
    <row r="1" spans="2:14" ht="38.25" customHeight="1">
      <c r="B1" s="76" t="s">
        <v>19</v>
      </c>
      <c r="C1" s="76"/>
      <c r="D1" s="76"/>
      <c r="E1" s="76"/>
      <c r="F1" s="76"/>
      <c r="G1" s="76"/>
      <c r="H1" s="76"/>
      <c r="I1" s="76"/>
      <c r="J1" s="76"/>
      <c r="K1" s="76"/>
      <c r="M1"/>
    </row>
    <row r="2" spans="2:14" ht="15.75" thickBot="1">
      <c r="M2"/>
    </row>
    <row r="3" spans="2:14" ht="30" customHeight="1" thickBot="1">
      <c r="B3" s="25"/>
      <c r="C3" s="67" t="s">
        <v>0</v>
      </c>
      <c r="D3" s="68"/>
      <c r="E3" s="6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70">
        <v>1</v>
      </c>
      <c r="C4" s="71" t="s">
        <v>13</v>
      </c>
      <c r="D4" s="72"/>
      <c r="E4" s="73"/>
      <c r="F4" s="10" t="s">
        <v>7</v>
      </c>
      <c r="G4" s="6" t="str">
        <f ca="1">INDIRECT(ADDRESS(27,6))&amp;":"&amp;INDIRECT(ADDRESS(27,7))</f>
        <v>8:11</v>
      </c>
      <c r="H4" s="6" t="str">
        <f ca="1">INDIRECT(ADDRESS(31,7))&amp;":"&amp;INDIRECT(ADDRESS(31,6))</f>
        <v>12:13</v>
      </c>
      <c r="I4" s="6" t="str">
        <f ca="1">INDIRECT(ADDRESS(36,6))&amp;":"&amp;INDIRECT(ADDRESS(36,7))</f>
        <v>3:13</v>
      </c>
      <c r="J4" s="6" t="str">
        <f ca="1">INDIRECT(ADDRESS(42,7))&amp;":"&amp;INDIRECT(ADDRESS(42,6))</f>
        <v>13:6</v>
      </c>
      <c r="K4" s="21" t="str">
        <f ca="1">INDIRECT(ADDRESS(20,6))&amp;":"&amp;INDIRECT(ADDRESS(20,7))</f>
        <v>13:5</v>
      </c>
      <c r="L4" s="74">
        <f ca="1">IF(COUNT(F5:K5)=0,"",COUNTIF(F5:K5,"&gt;0")+0.5*COUNTIF(F5:K5,0))</f>
        <v>2</v>
      </c>
      <c r="M4" s="24"/>
      <c r="N4" s="75">
        <v>5</v>
      </c>
    </row>
    <row r="5" spans="2:14" ht="24" customHeight="1">
      <c r="B5" s="54"/>
      <c r="C5" s="55"/>
      <c r="D5" s="56"/>
      <c r="E5" s="57"/>
      <c r="F5" s="14" t="s">
        <v>7</v>
      </c>
      <c r="G5" s="17">
        <f ca="1">IF(LEN(INDIRECT(ADDRESS(ROW()-1, COLUMN())))=1,"",INDIRECT(ADDRESS(27,6))-INDIRECT(ADDRESS(27,7)))</f>
        <v>-3</v>
      </c>
      <c r="H5" s="17">
        <f ca="1">IF(LEN(INDIRECT(ADDRESS(ROW()-1, COLUMN())))=1,"",INDIRECT(ADDRESS(31,7))-INDIRECT(ADDRESS(31,6)))</f>
        <v>-1</v>
      </c>
      <c r="I5" s="17">
        <f ca="1">IF(LEN(INDIRECT(ADDRESS(ROW()-1, COLUMN())))=1,"",INDIRECT(ADDRESS(36,6))-INDIRECT(ADDRESS(36,7)))</f>
        <v>-10</v>
      </c>
      <c r="J5" s="17">
        <f ca="1">IF(LEN(INDIRECT(ADDRESS(ROW()-1, COLUMN())))=1,"",INDIRECT(ADDRESS(42,7))-INDIRECT(ADDRESS(42,6)))</f>
        <v>7</v>
      </c>
      <c r="K5" s="18">
        <f ca="1">IF(LEN(INDIRECT(ADDRESS(ROW()-1, COLUMN())))=1,"",INDIRECT(ADDRESS(20,6))-INDIRECT(ADDRESS(20,7)))</f>
        <v>8</v>
      </c>
      <c r="L5" s="64"/>
      <c r="M5" s="17">
        <f ca="1">IF(COUNT(F5:K5)=0,"",SUM(F5:K5))</f>
        <v>1</v>
      </c>
      <c r="N5" s="59"/>
    </row>
    <row r="6" spans="2:14" ht="24" customHeight="1">
      <c r="B6" s="53">
        <v>2</v>
      </c>
      <c r="C6" s="55" t="s">
        <v>14</v>
      </c>
      <c r="D6" s="56"/>
      <c r="E6" s="57"/>
      <c r="F6" s="12" t="str">
        <f ca="1">INDIRECT(ADDRESS(27,7))&amp;":"&amp;INDIRECT(ADDRESS(27,6))</f>
        <v>11:8</v>
      </c>
      <c r="G6" s="8" t="s">
        <v>7</v>
      </c>
      <c r="H6" s="7" t="str">
        <f ca="1">INDIRECT(ADDRESS(37,6))&amp;":"&amp;INDIRECT(ADDRESS(37,7))</f>
        <v>12:11</v>
      </c>
      <c r="I6" s="7" t="str">
        <f ca="1">INDIRECT(ADDRESS(41,7))&amp;":"&amp;INDIRECT(ADDRESS(41,6))</f>
        <v>11:12</v>
      </c>
      <c r="J6" s="7" t="str">
        <f ca="1">INDIRECT(ADDRESS(21,6))&amp;":"&amp;INDIRECT(ADDRESS(21,7))</f>
        <v>7:13</v>
      </c>
      <c r="K6" s="11" t="str">
        <f ca="1">INDIRECT(ADDRESS(30,6))&amp;":"&amp;INDIRECT(ADDRESS(30,7))</f>
        <v>13:4</v>
      </c>
      <c r="L6" s="64">
        <f ca="1">IF(COUNT(F7:K7)=0,"",COUNTIF(F7:K7,"&gt;0")+0.5*COUNTIF(F7:K7,0))</f>
        <v>3</v>
      </c>
      <c r="M6" s="17"/>
      <c r="N6" s="58">
        <v>3</v>
      </c>
    </row>
    <row r="7" spans="2:14" ht="24" customHeight="1">
      <c r="B7" s="54"/>
      <c r="C7" s="55"/>
      <c r="D7" s="56"/>
      <c r="E7" s="57"/>
      <c r="F7" s="23">
        <f ca="1">IF(LEN(INDIRECT(ADDRESS(ROW()-1, COLUMN())))=1,"",INDIRECT(ADDRESS(27,7))-INDIRECT(ADDRESS(27,6)))</f>
        <v>3</v>
      </c>
      <c r="G7" s="15" t="s">
        <v>7</v>
      </c>
      <c r="H7" s="17">
        <f ca="1">IF(LEN(INDIRECT(ADDRESS(ROW()-1, COLUMN())))=1,"",INDIRECT(ADDRESS(37,6))-INDIRECT(ADDRESS(37,7)))</f>
        <v>1</v>
      </c>
      <c r="I7" s="17">
        <f ca="1">IF(LEN(INDIRECT(ADDRESS(ROW()-1, COLUMN())))=1,"",INDIRECT(ADDRESS(41,7))-INDIRECT(ADDRESS(41,6)))</f>
        <v>-1</v>
      </c>
      <c r="J7" s="17">
        <f ca="1">IF(LEN(INDIRECT(ADDRESS(ROW()-1, COLUMN())))=1,"",INDIRECT(ADDRESS(21,6))-INDIRECT(ADDRESS(21,7)))</f>
        <v>-6</v>
      </c>
      <c r="K7" s="18">
        <f ca="1">IF(LEN(INDIRECT(ADDRESS(ROW()-1, COLUMN())))=1,"",INDIRECT(ADDRESS(30,6))-INDIRECT(ADDRESS(30,7)))</f>
        <v>9</v>
      </c>
      <c r="L7" s="64"/>
      <c r="M7" s="17">
        <f ca="1">IF(COUNT(F7:K7)=0,"",SUM(F7:K7))</f>
        <v>6</v>
      </c>
      <c r="N7" s="59"/>
    </row>
    <row r="8" spans="2:14" ht="24" customHeight="1">
      <c r="B8" s="53">
        <v>3</v>
      </c>
      <c r="C8" s="55" t="s">
        <v>15</v>
      </c>
      <c r="D8" s="56"/>
      <c r="E8" s="57"/>
      <c r="F8" s="12" t="str">
        <f ca="1">INDIRECT(ADDRESS(31,6))&amp;":"&amp;INDIRECT(ADDRESS(31,7))</f>
        <v>13:12</v>
      </c>
      <c r="G8" s="7" t="str">
        <f ca="1">INDIRECT(ADDRESS(37,7))&amp;":"&amp;INDIRECT(ADDRESS(37,6))</f>
        <v>11:12</v>
      </c>
      <c r="H8" s="8" t="s">
        <v>7</v>
      </c>
      <c r="I8" s="7" t="str">
        <f ca="1">INDIRECT(ADDRESS(22,6))&amp;":"&amp;INDIRECT(ADDRESS(22,7))</f>
        <v>5:13</v>
      </c>
      <c r="J8" s="7" t="str">
        <f ca="1">INDIRECT(ADDRESS(26,7))&amp;":"&amp;INDIRECT(ADDRESS(26,6))</f>
        <v>11:9</v>
      </c>
      <c r="K8" s="11" t="str">
        <f ca="1">INDIRECT(ADDRESS(40,6))&amp;":"&amp;INDIRECT(ADDRESS(40,7))</f>
        <v>5:13</v>
      </c>
      <c r="L8" s="64">
        <f ca="1">IF(COUNT(F9:K9)=0,"",COUNTIF(F9:K9,"&gt;0")+0.5*COUNTIF(F9:K9,0))</f>
        <v>2</v>
      </c>
      <c r="M8" s="17"/>
      <c r="N8" s="58">
        <v>4</v>
      </c>
    </row>
    <row r="9" spans="2:14" ht="24" customHeight="1">
      <c r="B9" s="54"/>
      <c r="C9" s="55"/>
      <c r="D9" s="56"/>
      <c r="E9" s="57"/>
      <c r="F9" s="23">
        <f ca="1">IF(LEN(INDIRECT(ADDRESS(ROW()-1, COLUMN())))=1,"",INDIRECT(ADDRESS(31,6))-INDIRECT(ADDRESS(31,7)))</f>
        <v>1</v>
      </c>
      <c r="G9" s="17">
        <f ca="1">IF(LEN(INDIRECT(ADDRESS(ROW()-1, COLUMN())))=1,"",INDIRECT(ADDRESS(37,7))-INDIRECT(ADDRESS(37,6)))</f>
        <v>-1</v>
      </c>
      <c r="H9" s="15" t="s">
        <v>7</v>
      </c>
      <c r="I9" s="17">
        <f ca="1">IF(LEN(INDIRECT(ADDRESS(ROW()-1, COLUMN())))=1,"",INDIRECT(ADDRESS(22,6))-INDIRECT(ADDRESS(22,7)))</f>
        <v>-8</v>
      </c>
      <c r="J9" s="17">
        <f ca="1">IF(LEN(INDIRECT(ADDRESS(ROW()-1, COLUMN())))=1,"",INDIRECT(ADDRESS(26,7))-INDIRECT(ADDRESS(26,6)))</f>
        <v>2</v>
      </c>
      <c r="K9" s="18">
        <f ca="1">IF(LEN(INDIRECT(ADDRESS(ROW()-1, COLUMN())))=1,"",INDIRECT(ADDRESS(40,6))-INDIRECT(ADDRESS(40,7)))</f>
        <v>-8</v>
      </c>
      <c r="L9" s="64"/>
      <c r="M9" s="17">
        <f ca="1">IF(COUNT(F9:K9)=0,"",SUM(F9:K9))</f>
        <v>-14</v>
      </c>
      <c r="N9" s="59"/>
    </row>
    <row r="10" spans="2:14" ht="24" customHeight="1">
      <c r="B10" s="53">
        <v>4</v>
      </c>
      <c r="C10" s="55" t="s">
        <v>16</v>
      </c>
      <c r="D10" s="56"/>
      <c r="E10" s="57"/>
      <c r="F10" s="12" t="str">
        <f ca="1">INDIRECT(ADDRESS(36,7))&amp;":"&amp;INDIRECT(ADDRESS(36,6))</f>
        <v>13:3</v>
      </c>
      <c r="G10" s="7" t="str">
        <f ca="1">INDIRECT(ADDRESS(41,6))&amp;":"&amp;INDIRECT(ADDRESS(41,7))</f>
        <v>12:11</v>
      </c>
      <c r="H10" s="7" t="str">
        <f ca="1">INDIRECT(ADDRESS(22,7))&amp;":"&amp;INDIRECT(ADDRESS(22,6))</f>
        <v>13:5</v>
      </c>
      <c r="I10" s="8" t="s">
        <v>7</v>
      </c>
      <c r="J10" s="7" t="str">
        <f ca="1">INDIRECT(ADDRESS(32,6))&amp;":"&amp;INDIRECT(ADDRESS(32,7))</f>
        <v>8:11</v>
      </c>
      <c r="K10" s="11" t="str">
        <f ca="1">INDIRECT(ADDRESS(25,7))&amp;":"&amp;INDIRECT(ADDRESS(25,6))</f>
        <v>13:9</v>
      </c>
      <c r="L10" s="64">
        <f ca="1">IF(COUNT(F11:K11)=0,"",COUNTIF(F11:K11,"&gt;0")+0.5*COUNTIF(F11:K11,0))</f>
        <v>4</v>
      </c>
      <c r="M10" s="17"/>
      <c r="N10" s="58">
        <v>1</v>
      </c>
    </row>
    <row r="11" spans="2:14" ht="24" customHeight="1">
      <c r="B11" s="54"/>
      <c r="C11" s="55"/>
      <c r="D11" s="56"/>
      <c r="E11" s="57"/>
      <c r="F11" s="23">
        <f ca="1">IF(LEN(INDIRECT(ADDRESS(ROW()-1, COLUMN())))=1,"",INDIRECT(ADDRESS(36,7))-INDIRECT(ADDRESS(36,6)))</f>
        <v>10</v>
      </c>
      <c r="G11" s="17">
        <f ca="1">IF(LEN(INDIRECT(ADDRESS(ROW()-1, COLUMN())))=1,"",INDIRECT(ADDRESS(41,6))-INDIRECT(ADDRESS(41,7)))</f>
        <v>1</v>
      </c>
      <c r="H11" s="17">
        <f ca="1">IF(LEN(INDIRECT(ADDRESS(ROW()-1, COLUMN())))=1,"",INDIRECT(ADDRESS(22,7))-INDIRECT(ADDRESS(22,6)))</f>
        <v>8</v>
      </c>
      <c r="I11" s="15" t="s">
        <v>7</v>
      </c>
      <c r="J11" s="17">
        <f ca="1">IF(LEN(INDIRECT(ADDRESS(ROW()-1, COLUMN())))=1,"",INDIRECT(ADDRESS(32,6))-INDIRECT(ADDRESS(32,7)))</f>
        <v>-3</v>
      </c>
      <c r="K11" s="18">
        <f ca="1">IF(LEN(INDIRECT(ADDRESS(ROW()-1, COLUMN())))=1,"",INDIRECT(ADDRESS(25,7))-INDIRECT(ADDRESS(25,6)))</f>
        <v>4</v>
      </c>
      <c r="L11" s="64"/>
      <c r="M11" s="17">
        <f ca="1">IF(COUNT(F11:K11)=0,"",SUM(F11:K11))</f>
        <v>20</v>
      </c>
      <c r="N11" s="59"/>
    </row>
    <row r="12" spans="2:14" ht="24" customHeight="1">
      <c r="B12" s="53">
        <v>5</v>
      </c>
      <c r="C12" s="55" t="s">
        <v>17</v>
      </c>
      <c r="D12" s="56"/>
      <c r="E12" s="57"/>
      <c r="F12" s="12" t="str">
        <f ca="1">INDIRECT(ADDRESS(42,6))&amp;":"&amp;INDIRECT(ADDRESS(42,7))</f>
        <v>6:13</v>
      </c>
      <c r="G12" s="7" t="str">
        <f ca="1">INDIRECT(ADDRESS(21,7))&amp;":"&amp;INDIRECT(ADDRESS(21,6))</f>
        <v>13:7</v>
      </c>
      <c r="H12" s="7" t="str">
        <f ca="1">INDIRECT(ADDRESS(26,6))&amp;":"&amp;INDIRECT(ADDRESS(26,7))</f>
        <v>9:11</v>
      </c>
      <c r="I12" s="7" t="str">
        <f ca="1">INDIRECT(ADDRESS(32,7))&amp;":"&amp;INDIRECT(ADDRESS(32,6))</f>
        <v>11:8</v>
      </c>
      <c r="J12" s="8" t="s">
        <v>7</v>
      </c>
      <c r="K12" s="11" t="str">
        <f ca="1">INDIRECT(ADDRESS(35,7))&amp;":"&amp;INDIRECT(ADDRESS(35,6))</f>
        <v>13:6</v>
      </c>
      <c r="L12" s="64">
        <f ca="1">IF(COUNT(F13:K13)=0,"",COUNTIF(F13:K13,"&gt;0")+0.5*COUNTIF(F13:K13,0))</f>
        <v>3</v>
      </c>
      <c r="M12" s="17"/>
      <c r="N12" s="58">
        <v>2</v>
      </c>
    </row>
    <row r="13" spans="2:14" ht="24" customHeight="1">
      <c r="B13" s="54"/>
      <c r="C13" s="55"/>
      <c r="D13" s="56"/>
      <c r="E13" s="57"/>
      <c r="F13" s="23">
        <f ca="1">IF(LEN(INDIRECT(ADDRESS(ROW()-1, COLUMN())))=1,"",INDIRECT(ADDRESS(42,6))-INDIRECT(ADDRESS(42,7)))</f>
        <v>-7</v>
      </c>
      <c r="G13" s="17">
        <f ca="1">IF(LEN(INDIRECT(ADDRESS(ROW()-1, COLUMN())))=1,"",INDIRECT(ADDRESS(21,7))-INDIRECT(ADDRESS(21,6)))</f>
        <v>6</v>
      </c>
      <c r="H13" s="17">
        <f ca="1">IF(LEN(INDIRECT(ADDRESS(ROW()-1, COLUMN())))=1,"",INDIRECT(ADDRESS(26,6))-INDIRECT(ADDRESS(26,7)))</f>
        <v>-2</v>
      </c>
      <c r="I13" s="17">
        <f ca="1">IF(LEN(INDIRECT(ADDRESS(ROW()-1, COLUMN())))=1,"",INDIRECT(ADDRESS(32,7))-INDIRECT(ADDRESS(32,6)))</f>
        <v>3</v>
      </c>
      <c r="J13" s="15" t="s">
        <v>7</v>
      </c>
      <c r="K13" s="18">
        <f ca="1">IF(LEN(INDIRECT(ADDRESS(ROW()-1, COLUMN())))=1,"",INDIRECT(ADDRESS(35,7))-INDIRECT(ADDRESS(35,6)))</f>
        <v>7</v>
      </c>
      <c r="L13" s="64"/>
      <c r="M13" s="17">
        <f ca="1">IF(COUNT(F13:K13)=0,"",SUM(F13:K13))</f>
        <v>7</v>
      </c>
      <c r="N13" s="59"/>
    </row>
    <row r="14" spans="2:14" ht="24" customHeight="1">
      <c r="B14" s="53">
        <v>6</v>
      </c>
      <c r="C14" s="55" t="s">
        <v>18</v>
      </c>
      <c r="D14" s="56"/>
      <c r="E14" s="57"/>
      <c r="F14" s="12" t="str">
        <f ca="1">INDIRECT(ADDRESS(20,7))&amp;":"&amp;INDIRECT(ADDRESS(20,6))</f>
        <v>5:13</v>
      </c>
      <c r="G14" s="7" t="str">
        <f ca="1">INDIRECT(ADDRESS(30,7))&amp;":"&amp;INDIRECT(ADDRESS(30,6))</f>
        <v>4:13</v>
      </c>
      <c r="H14" s="7" t="str">
        <f ca="1">INDIRECT(ADDRESS(40,7))&amp;":"&amp;INDIRECT(ADDRESS(40,6))</f>
        <v>13:5</v>
      </c>
      <c r="I14" s="7" t="str">
        <f ca="1">INDIRECT(ADDRESS(25,6))&amp;":"&amp;INDIRECT(ADDRESS(25,7))</f>
        <v>9:13</v>
      </c>
      <c r="J14" s="7" t="str">
        <f ca="1">INDIRECT(ADDRESS(35,6))&amp;":"&amp;INDIRECT(ADDRESS(35,7))</f>
        <v>6:13</v>
      </c>
      <c r="K14" s="13" t="s">
        <v>7</v>
      </c>
      <c r="L14" s="64">
        <f ca="1">IF(COUNT(F15:K15)=0,"",COUNTIF(F15:K15,"&gt;0")+0.5*COUNTIF(F15:K15,0))</f>
        <v>1</v>
      </c>
      <c r="M14" s="17"/>
      <c r="N14" s="58">
        <v>6</v>
      </c>
    </row>
    <row r="15" spans="2:14" ht="24" customHeight="1" thickBot="1">
      <c r="B15" s="60"/>
      <c r="C15" s="61"/>
      <c r="D15" s="62"/>
      <c r="E15" s="63"/>
      <c r="F15" s="20">
        <f ca="1">IF(LEN(INDIRECT(ADDRESS(ROW()-1, COLUMN())))=1,"",INDIRECT(ADDRESS(20,7))-INDIRECT(ADDRESS(20,6)))</f>
        <v>-8</v>
      </c>
      <c r="G15" s="19">
        <f ca="1">IF(LEN(INDIRECT(ADDRESS(ROW()-1, COLUMN())))=1,"",INDIRECT(ADDRESS(30,7))-INDIRECT(ADDRESS(30,6)))</f>
        <v>-9</v>
      </c>
      <c r="H15" s="19">
        <f ca="1">IF(LEN(INDIRECT(ADDRESS(ROW()-1, COLUMN())))=1,"",INDIRECT(ADDRESS(40,7))-INDIRECT(ADDRESS(40,6)))</f>
        <v>8</v>
      </c>
      <c r="I15" s="19">
        <f ca="1">IF(LEN(INDIRECT(ADDRESS(ROW()-1, COLUMN())))=1,"",INDIRECT(ADDRESS(25,6))-INDIRECT(ADDRESS(25,7)))</f>
        <v>-4</v>
      </c>
      <c r="J15" s="19">
        <f ca="1">IF(LEN(INDIRECT(ADDRESS(ROW()-1, COLUMN())))=1,"",INDIRECT(ADDRESS(35,6))-INDIRECT(ADDRESS(35,7)))</f>
        <v>-7</v>
      </c>
      <c r="K15" s="16" t="s">
        <v>7</v>
      </c>
      <c r="L15" s="65"/>
      <c r="M15" s="19">
        <f ca="1">IF(COUNT(F15:K15)=0,"",SUM(F15:K15))</f>
        <v>-20</v>
      </c>
      <c r="N15" s="66"/>
    </row>
    <row r="16" spans="2:14">
      <c r="M16"/>
    </row>
    <row r="17" spans="1:13">
      <c r="M17"/>
    </row>
    <row r="18" spans="1:13">
      <c r="M18"/>
    </row>
    <row r="19" spans="1:13" s="41" customFormat="1" ht="30" customHeight="1" thickBot="1">
      <c r="A19" s="40"/>
      <c r="B19" s="52" t="s">
        <v>4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3" s="41" customFormat="1" ht="30" customHeight="1" thickBot="1">
      <c r="A20" s="40"/>
      <c r="B20" s="46">
        <v>1</v>
      </c>
      <c r="C20" s="49" t="str">
        <f ca="1">IF(ISBLANK(INDIRECT(ADDRESS(B20*2+2,3))),"",INDIRECT(ADDRESS(B20*2+2,3)))</f>
        <v>Корицкая Юлия</v>
      </c>
      <c r="D20" s="49"/>
      <c r="E20" s="50"/>
      <c r="F20" s="42">
        <v>13</v>
      </c>
      <c r="G20" s="43">
        <v>5</v>
      </c>
      <c r="H20" s="51" t="str">
        <f ca="1">IF(ISBLANK(INDIRECT(ADDRESS(K20*2+2,3))),"",INDIRECT(ADDRESS(K20*2+2,3)))</f>
        <v>Симутина Юлия</v>
      </c>
      <c r="I20" s="49"/>
      <c r="J20" s="49"/>
      <c r="K20" s="46">
        <v>6</v>
      </c>
      <c r="L20" s="44" t="s">
        <v>11</v>
      </c>
      <c r="M20" s="39"/>
    </row>
    <row r="21" spans="1:13" s="41" customFormat="1" ht="30" customHeight="1" thickBot="1">
      <c r="A21" s="40"/>
      <c r="B21" s="46">
        <v>2</v>
      </c>
      <c r="C21" s="49" t="str">
        <f ca="1">IF(ISBLANK(INDIRECT(ADDRESS(B21*2+2,3))),"",INDIRECT(ADDRESS(B21*2+2,3)))</f>
        <v>Маркина Елена</v>
      </c>
      <c r="D21" s="49"/>
      <c r="E21" s="50"/>
      <c r="F21" s="42">
        <v>7</v>
      </c>
      <c r="G21" s="43">
        <v>13</v>
      </c>
      <c r="H21" s="51" t="str">
        <f ca="1">IF(ISBLANK(INDIRECT(ADDRESS(K21*2+2,3))),"",INDIRECT(ADDRESS(K21*2+2,3)))</f>
        <v>Григорова Людмила</v>
      </c>
      <c r="I21" s="49"/>
      <c r="J21" s="49"/>
      <c r="K21" s="46">
        <v>5</v>
      </c>
      <c r="L21" s="44" t="s">
        <v>11</v>
      </c>
      <c r="M21" s="39"/>
    </row>
    <row r="22" spans="1:13" s="41" customFormat="1" ht="30" customHeight="1" thickBot="1">
      <c r="A22" s="40"/>
      <c r="B22" s="46">
        <v>3</v>
      </c>
      <c r="C22" s="49" t="str">
        <f ca="1">IF(ISBLANK(INDIRECT(ADDRESS(B22*2+2,3))),"",INDIRECT(ADDRESS(B22*2+2,3)))</f>
        <v>Серёгина Ольга</v>
      </c>
      <c r="D22" s="49"/>
      <c r="E22" s="50"/>
      <c r="F22" s="42">
        <v>5</v>
      </c>
      <c r="G22" s="43">
        <v>13</v>
      </c>
      <c r="H22" s="51" t="str">
        <f ca="1">IF(ISBLANK(INDIRECT(ADDRESS(K22*2+2,3))),"",INDIRECT(ADDRESS(K22*2+2,3)))</f>
        <v>Лукина Лариса</v>
      </c>
      <c r="I22" s="49"/>
      <c r="J22" s="49"/>
      <c r="K22" s="46">
        <v>4</v>
      </c>
      <c r="L22" s="44" t="s">
        <v>11</v>
      </c>
      <c r="M22" s="39"/>
    </row>
    <row r="23" spans="1:13" s="41" customFormat="1" ht="30" customHeight="1">
      <c r="A23" s="40"/>
      <c r="M23" s="47"/>
    </row>
    <row r="24" spans="1:13" s="41" customFormat="1" ht="30" customHeight="1" thickBot="1">
      <c r="A24" s="40"/>
      <c r="B24" s="52" t="s">
        <v>5</v>
      </c>
      <c r="C24" s="52"/>
      <c r="D24" s="52"/>
      <c r="E24" s="52"/>
      <c r="F24" s="52"/>
      <c r="G24" s="52"/>
      <c r="H24" s="52"/>
      <c r="I24" s="52"/>
      <c r="J24" s="52"/>
      <c r="K24" s="52"/>
      <c r="M24" s="47"/>
    </row>
    <row r="25" spans="1:13" s="41" customFormat="1" ht="30" customHeight="1" thickBot="1">
      <c r="A25" s="40"/>
      <c r="B25" s="46">
        <v>6</v>
      </c>
      <c r="C25" s="49" t="str">
        <f ca="1">IF(ISBLANK(INDIRECT(ADDRESS(B25*2+2,3))),"",INDIRECT(ADDRESS(B25*2+2,3)))</f>
        <v>Симутина Юлия</v>
      </c>
      <c r="D25" s="49"/>
      <c r="E25" s="50"/>
      <c r="F25" s="42">
        <v>9</v>
      </c>
      <c r="G25" s="43">
        <v>13</v>
      </c>
      <c r="H25" s="51" t="str">
        <f ca="1">IF(ISBLANK(INDIRECT(ADDRESS(K25*2+2,3))),"",INDIRECT(ADDRESS(K25*2+2,3)))</f>
        <v>Лукина Лариса</v>
      </c>
      <c r="I25" s="49"/>
      <c r="J25" s="49"/>
      <c r="K25" s="46">
        <v>4</v>
      </c>
      <c r="L25" s="44" t="s">
        <v>11</v>
      </c>
      <c r="M25" s="39"/>
    </row>
    <row r="26" spans="1:13" s="41" customFormat="1" ht="30" customHeight="1" thickBot="1">
      <c r="A26" s="40"/>
      <c r="B26" s="46">
        <v>5</v>
      </c>
      <c r="C26" s="49" t="str">
        <f ca="1">IF(ISBLANK(INDIRECT(ADDRESS(B26*2+2,3))),"",INDIRECT(ADDRESS(B26*2+2,3)))</f>
        <v>Григорова Людмила</v>
      </c>
      <c r="D26" s="49"/>
      <c r="E26" s="50"/>
      <c r="F26" s="42">
        <v>9</v>
      </c>
      <c r="G26" s="43">
        <v>11</v>
      </c>
      <c r="H26" s="51" t="str">
        <f ca="1">IF(ISBLANK(INDIRECT(ADDRESS(K26*2+2,3))),"",INDIRECT(ADDRESS(K26*2+2,3)))</f>
        <v>Серёгина Ольга</v>
      </c>
      <c r="I26" s="49"/>
      <c r="J26" s="49"/>
      <c r="K26" s="46">
        <v>3</v>
      </c>
      <c r="L26" s="44" t="s">
        <v>11</v>
      </c>
      <c r="M26" s="39"/>
    </row>
    <row r="27" spans="1:13" s="41" customFormat="1" ht="30" customHeight="1" thickBot="1">
      <c r="A27" s="40"/>
      <c r="B27" s="46">
        <v>1</v>
      </c>
      <c r="C27" s="49" t="str">
        <f ca="1">IF(ISBLANK(INDIRECT(ADDRESS(B27*2+2,3))),"",INDIRECT(ADDRESS(B27*2+2,3)))</f>
        <v>Корицкая Юлия</v>
      </c>
      <c r="D27" s="49"/>
      <c r="E27" s="50"/>
      <c r="F27" s="42">
        <v>8</v>
      </c>
      <c r="G27" s="43">
        <v>11</v>
      </c>
      <c r="H27" s="51" t="str">
        <f ca="1">IF(ISBLANK(INDIRECT(ADDRESS(K27*2+2,3))),"",INDIRECT(ADDRESS(K27*2+2,3)))</f>
        <v>Маркина Елена</v>
      </c>
      <c r="I27" s="49"/>
      <c r="J27" s="49"/>
      <c r="K27" s="46">
        <v>2</v>
      </c>
      <c r="L27" s="44" t="s">
        <v>11</v>
      </c>
      <c r="M27" s="39"/>
    </row>
    <row r="28" spans="1:13" s="41" customFormat="1" ht="30" customHeight="1">
      <c r="A28" s="40"/>
      <c r="M28" s="47"/>
    </row>
    <row r="29" spans="1:13" s="41" customFormat="1" ht="30" customHeight="1" thickBot="1">
      <c r="A29" s="40"/>
      <c r="B29" s="52" t="s">
        <v>6</v>
      </c>
      <c r="C29" s="52"/>
      <c r="D29" s="52"/>
      <c r="E29" s="52"/>
      <c r="F29" s="52"/>
      <c r="G29" s="52"/>
      <c r="H29" s="52"/>
      <c r="I29" s="52"/>
      <c r="J29" s="52"/>
      <c r="K29" s="52"/>
      <c r="M29" s="47"/>
    </row>
    <row r="30" spans="1:13" s="41" customFormat="1" ht="30" customHeight="1" thickBot="1">
      <c r="A30" s="40"/>
      <c r="B30" s="46">
        <v>2</v>
      </c>
      <c r="C30" s="49" t="str">
        <f ca="1">IF(ISBLANK(INDIRECT(ADDRESS(B30*2+2,3))),"",INDIRECT(ADDRESS(B30*2+2,3)))</f>
        <v>Маркина Елена</v>
      </c>
      <c r="D30" s="49"/>
      <c r="E30" s="50"/>
      <c r="F30" s="42">
        <v>13</v>
      </c>
      <c r="G30" s="43">
        <v>4</v>
      </c>
      <c r="H30" s="51" t="str">
        <f ca="1">IF(ISBLANK(INDIRECT(ADDRESS(K30*2+2,3))),"",INDIRECT(ADDRESS(K30*2+2,3)))</f>
        <v>Симутина Юлия</v>
      </c>
      <c r="I30" s="49"/>
      <c r="J30" s="49"/>
      <c r="K30" s="46">
        <v>6</v>
      </c>
      <c r="L30" s="44" t="s">
        <v>11</v>
      </c>
      <c r="M30" s="39"/>
    </row>
    <row r="31" spans="1:13" s="41" customFormat="1" ht="30" customHeight="1" thickBot="1">
      <c r="A31" s="40"/>
      <c r="B31" s="46">
        <v>3</v>
      </c>
      <c r="C31" s="49" t="str">
        <f ca="1">IF(ISBLANK(INDIRECT(ADDRESS(B31*2+2,3))),"",INDIRECT(ADDRESS(B31*2+2,3)))</f>
        <v>Серёгина Ольга</v>
      </c>
      <c r="D31" s="49"/>
      <c r="E31" s="50"/>
      <c r="F31" s="42">
        <v>13</v>
      </c>
      <c r="G31" s="43">
        <v>12</v>
      </c>
      <c r="H31" s="51" t="str">
        <f ca="1">IF(ISBLANK(INDIRECT(ADDRESS(K31*2+2,3))),"",INDIRECT(ADDRESS(K31*2+2,3)))</f>
        <v>Корицкая Юлия</v>
      </c>
      <c r="I31" s="49"/>
      <c r="J31" s="49"/>
      <c r="K31" s="46">
        <v>1</v>
      </c>
      <c r="L31" s="44" t="s">
        <v>11</v>
      </c>
      <c r="M31" s="39"/>
    </row>
    <row r="32" spans="1:13" s="41" customFormat="1" ht="30" customHeight="1" thickBot="1">
      <c r="A32" s="40"/>
      <c r="B32" s="46">
        <v>4</v>
      </c>
      <c r="C32" s="49" t="str">
        <f ca="1">IF(ISBLANK(INDIRECT(ADDRESS(B32*2+2,3))),"",INDIRECT(ADDRESS(B32*2+2,3)))</f>
        <v>Лукина Лариса</v>
      </c>
      <c r="D32" s="49"/>
      <c r="E32" s="50"/>
      <c r="F32" s="42">
        <v>8</v>
      </c>
      <c r="G32" s="43">
        <v>11</v>
      </c>
      <c r="H32" s="51" t="str">
        <f ca="1">IF(ISBLANK(INDIRECT(ADDRESS(K32*2+2,3))),"",INDIRECT(ADDRESS(K32*2+2,3)))</f>
        <v>Григорова Людмила</v>
      </c>
      <c r="I32" s="49"/>
      <c r="J32" s="49"/>
      <c r="K32" s="46">
        <v>5</v>
      </c>
      <c r="L32" s="44" t="s">
        <v>11</v>
      </c>
      <c r="M32" s="39"/>
    </row>
    <row r="33" spans="1:13" s="41" customFormat="1" ht="30" customHeight="1">
      <c r="A33" s="40"/>
      <c r="M33" s="47"/>
    </row>
    <row r="34" spans="1:13" s="41" customFormat="1" ht="30" customHeight="1" thickBot="1">
      <c r="A34" s="40"/>
      <c r="B34" s="52" t="s">
        <v>8</v>
      </c>
      <c r="C34" s="52"/>
      <c r="D34" s="52"/>
      <c r="E34" s="52"/>
      <c r="F34" s="52"/>
      <c r="G34" s="52"/>
      <c r="H34" s="52"/>
      <c r="I34" s="52"/>
      <c r="J34" s="52"/>
      <c r="K34" s="52"/>
      <c r="M34" s="47"/>
    </row>
    <row r="35" spans="1:13" s="41" customFormat="1" ht="30" customHeight="1" thickBot="1">
      <c r="A35" s="40"/>
      <c r="B35" s="46">
        <v>6</v>
      </c>
      <c r="C35" s="49" t="str">
        <f ca="1">IF(ISBLANK(INDIRECT(ADDRESS(B35*2+2,3))),"",INDIRECT(ADDRESS(B35*2+2,3)))</f>
        <v>Симутина Юлия</v>
      </c>
      <c r="D35" s="49"/>
      <c r="E35" s="50"/>
      <c r="F35" s="42">
        <v>6</v>
      </c>
      <c r="G35" s="43">
        <v>13</v>
      </c>
      <c r="H35" s="51" t="str">
        <f ca="1">IF(ISBLANK(INDIRECT(ADDRESS(K35*2+2,3))),"",INDIRECT(ADDRESS(K35*2+2,3)))</f>
        <v>Григорова Людмила</v>
      </c>
      <c r="I35" s="49"/>
      <c r="J35" s="49"/>
      <c r="K35" s="46">
        <v>5</v>
      </c>
      <c r="L35" s="44" t="s">
        <v>11</v>
      </c>
      <c r="M35" s="39"/>
    </row>
    <row r="36" spans="1:13" s="41" customFormat="1" ht="30" customHeight="1" thickBot="1">
      <c r="A36" s="40"/>
      <c r="B36" s="46">
        <v>1</v>
      </c>
      <c r="C36" s="49" t="str">
        <f ca="1">IF(ISBLANK(INDIRECT(ADDRESS(B36*2+2,3))),"",INDIRECT(ADDRESS(B36*2+2,3)))</f>
        <v>Корицкая Юлия</v>
      </c>
      <c r="D36" s="49"/>
      <c r="E36" s="50"/>
      <c r="F36" s="42">
        <v>3</v>
      </c>
      <c r="G36" s="43">
        <v>13</v>
      </c>
      <c r="H36" s="51" t="str">
        <f ca="1">IF(ISBLANK(INDIRECT(ADDRESS(K36*2+2,3))),"",INDIRECT(ADDRESS(K36*2+2,3)))</f>
        <v>Лукина Лариса</v>
      </c>
      <c r="I36" s="49"/>
      <c r="J36" s="49"/>
      <c r="K36" s="46">
        <v>4</v>
      </c>
      <c r="L36" s="44" t="s">
        <v>11</v>
      </c>
      <c r="M36" s="39"/>
    </row>
    <row r="37" spans="1:13" s="41" customFormat="1" ht="30" customHeight="1" thickBot="1">
      <c r="A37" s="40"/>
      <c r="B37" s="46">
        <v>2</v>
      </c>
      <c r="C37" s="49" t="str">
        <f ca="1">IF(ISBLANK(INDIRECT(ADDRESS(B37*2+2,3))),"",INDIRECT(ADDRESS(B37*2+2,3)))</f>
        <v>Маркина Елена</v>
      </c>
      <c r="D37" s="49"/>
      <c r="E37" s="50"/>
      <c r="F37" s="42">
        <v>12</v>
      </c>
      <c r="G37" s="43">
        <v>11</v>
      </c>
      <c r="H37" s="51" t="str">
        <f ca="1">IF(ISBLANK(INDIRECT(ADDRESS(K37*2+2,3))),"",INDIRECT(ADDRESS(K37*2+2,3)))</f>
        <v>Серёгина Ольга</v>
      </c>
      <c r="I37" s="49"/>
      <c r="J37" s="49"/>
      <c r="K37" s="46">
        <v>3</v>
      </c>
      <c r="L37" s="44" t="s">
        <v>11</v>
      </c>
      <c r="M37" s="39"/>
    </row>
    <row r="38" spans="1:13" s="41" customFormat="1" ht="30" customHeight="1">
      <c r="A38" s="40"/>
      <c r="M38" s="47"/>
    </row>
    <row r="39" spans="1:13" s="41" customFormat="1" ht="30" customHeight="1" thickBot="1">
      <c r="A39" s="40"/>
      <c r="B39" s="52" t="s">
        <v>9</v>
      </c>
      <c r="C39" s="52"/>
      <c r="D39" s="52"/>
      <c r="E39" s="52"/>
      <c r="F39" s="52"/>
      <c r="G39" s="52"/>
      <c r="H39" s="52"/>
      <c r="I39" s="52"/>
      <c r="J39" s="52"/>
      <c r="K39" s="52"/>
      <c r="M39" s="47"/>
    </row>
    <row r="40" spans="1:13" s="41" customFormat="1" ht="30" customHeight="1" thickBot="1">
      <c r="A40" s="40"/>
      <c r="B40" s="46">
        <v>3</v>
      </c>
      <c r="C40" s="49" t="str">
        <f ca="1">IF(ISBLANK(INDIRECT(ADDRESS(B40*2+2,3))),"",INDIRECT(ADDRESS(B40*2+2,3)))</f>
        <v>Серёгина Ольга</v>
      </c>
      <c r="D40" s="49"/>
      <c r="E40" s="50"/>
      <c r="F40" s="42">
        <v>5</v>
      </c>
      <c r="G40" s="43">
        <v>13</v>
      </c>
      <c r="H40" s="51" t="str">
        <f ca="1">IF(ISBLANK(INDIRECT(ADDRESS(K40*2+2,3))),"",INDIRECT(ADDRESS(K40*2+2,3)))</f>
        <v>Симутина Юлия</v>
      </c>
      <c r="I40" s="49"/>
      <c r="J40" s="49"/>
      <c r="K40" s="46">
        <v>6</v>
      </c>
      <c r="L40" s="44" t="s">
        <v>11</v>
      </c>
      <c r="M40" s="39"/>
    </row>
    <row r="41" spans="1:13" s="41" customFormat="1" ht="30" customHeight="1" thickBot="1">
      <c r="A41" s="40"/>
      <c r="B41" s="46">
        <v>4</v>
      </c>
      <c r="C41" s="49" t="str">
        <f ca="1">IF(ISBLANK(INDIRECT(ADDRESS(B41*2+2,3))),"",INDIRECT(ADDRESS(B41*2+2,3)))</f>
        <v>Лукина Лариса</v>
      </c>
      <c r="D41" s="49"/>
      <c r="E41" s="50"/>
      <c r="F41" s="42">
        <v>12</v>
      </c>
      <c r="G41" s="43">
        <v>11</v>
      </c>
      <c r="H41" s="51" t="str">
        <f ca="1">IF(ISBLANK(INDIRECT(ADDRESS(K41*2+2,3))),"",INDIRECT(ADDRESS(K41*2+2,3)))</f>
        <v>Маркина Елена</v>
      </c>
      <c r="I41" s="49"/>
      <c r="J41" s="49"/>
      <c r="K41" s="46">
        <v>2</v>
      </c>
      <c r="L41" s="44" t="s">
        <v>11</v>
      </c>
      <c r="M41" s="39"/>
    </row>
    <row r="42" spans="1:13" s="41" customFormat="1" ht="30" customHeight="1" thickBot="1">
      <c r="A42" s="40"/>
      <c r="B42" s="46">
        <v>5</v>
      </c>
      <c r="C42" s="49" t="str">
        <f ca="1">IF(ISBLANK(INDIRECT(ADDRESS(B42*2+2,3))),"",INDIRECT(ADDRESS(B42*2+2,3)))</f>
        <v>Григорова Людмила</v>
      </c>
      <c r="D42" s="49"/>
      <c r="E42" s="50"/>
      <c r="F42" s="42">
        <v>6</v>
      </c>
      <c r="G42" s="43">
        <v>13</v>
      </c>
      <c r="H42" s="51" t="str">
        <f ca="1">IF(ISBLANK(INDIRECT(ADDRESS(K42*2+2,3))),"",INDIRECT(ADDRESS(K42*2+2,3)))</f>
        <v>Корицкая Юлия</v>
      </c>
      <c r="I42" s="49"/>
      <c r="J42" s="49"/>
      <c r="K42" s="46">
        <v>1</v>
      </c>
      <c r="L42" s="44" t="s">
        <v>11</v>
      </c>
      <c r="M42" s="39"/>
    </row>
  </sheetData>
  <sheetCalcPr fullCalcOnLoad="1"/>
  <mergeCells count="61"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  <mergeCell ref="B10:B11"/>
    <mergeCell ref="C10:E11"/>
    <mergeCell ref="L10:L11"/>
    <mergeCell ref="N10:N11"/>
    <mergeCell ref="B8:B9"/>
    <mergeCell ref="C8:E9"/>
    <mergeCell ref="L8:L9"/>
    <mergeCell ref="N8:N9"/>
    <mergeCell ref="N12:N13"/>
    <mergeCell ref="B14:B15"/>
    <mergeCell ref="C14:E15"/>
    <mergeCell ref="L14:L15"/>
    <mergeCell ref="N14:N15"/>
    <mergeCell ref="L12:L13"/>
    <mergeCell ref="B29:K29"/>
    <mergeCell ref="C22:E22"/>
    <mergeCell ref="H22:J22"/>
    <mergeCell ref="B12:B13"/>
    <mergeCell ref="C12:E13"/>
    <mergeCell ref="B19:K19"/>
    <mergeCell ref="C20:E20"/>
    <mergeCell ref="H20:J20"/>
    <mergeCell ref="C21:E21"/>
    <mergeCell ref="H21:J21"/>
    <mergeCell ref="B24:K24"/>
    <mergeCell ref="C25:E25"/>
    <mergeCell ref="H25:J25"/>
    <mergeCell ref="C26:E26"/>
    <mergeCell ref="H26:J26"/>
    <mergeCell ref="C27:E27"/>
    <mergeCell ref="H27:J27"/>
    <mergeCell ref="B39:K39"/>
    <mergeCell ref="C30:E30"/>
    <mergeCell ref="H30:J30"/>
    <mergeCell ref="C31:E31"/>
    <mergeCell ref="H31:J31"/>
    <mergeCell ref="C32:E32"/>
    <mergeCell ref="H32:J32"/>
    <mergeCell ref="B34:K34"/>
    <mergeCell ref="C35:E35"/>
    <mergeCell ref="H35:J35"/>
    <mergeCell ref="C36:E36"/>
    <mergeCell ref="H36:J36"/>
    <mergeCell ref="C37:E37"/>
    <mergeCell ref="H37:J37"/>
    <mergeCell ref="C40:E40"/>
    <mergeCell ref="H40:J40"/>
    <mergeCell ref="C41:E41"/>
    <mergeCell ref="H41:J41"/>
    <mergeCell ref="C42:E42"/>
    <mergeCell ref="H42:J42"/>
  </mergeCells>
  <phoneticPr fontId="12" type="noConversion"/>
  <printOptions horizontalCentered="1"/>
  <pageMargins left="0.25" right="0.25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D25" sqref="D25"/>
    </sheetView>
  </sheetViews>
  <sheetFormatPr defaultRowHeight="15" customHeight="1"/>
  <cols>
    <col min="1" max="1" width="9.140625" style="28"/>
    <col min="2" max="16384" width="9.140625" style="27"/>
  </cols>
  <sheetData>
    <row r="1" spans="2:13" ht="59.25" customHeight="1">
      <c r="B1" s="97" t="s">
        <v>58</v>
      </c>
      <c r="C1" s="97"/>
      <c r="D1" s="97"/>
      <c r="E1" s="97"/>
      <c r="F1" s="97"/>
      <c r="G1" s="97"/>
      <c r="H1" s="97"/>
      <c r="I1" s="97"/>
      <c r="J1" s="97"/>
      <c r="K1" s="97"/>
    </row>
    <row r="2" spans="2:13" ht="15" customHeight="1">
      <c r="C2" s="35"/>
    </row>
    <row r="3" spans="2:13" ht="15" customHeight="1">
      <c r="C3" s="35"/>
    </row>
    <row r="4" spans="2:13" ht="15" customHeight="1">
      <c r="B4" s="85" t="s">
        <v>49</v>
      </c>
      <c r="C4" s="86"/>
      <c r="D4" s="26">
        <v>13</v>
      </c>
      <c r="E4" s="29"/>
    </row>
    <row r="5" spans="2:13" ht="15" customHeight="1">
      <c r="C5" s="35"/>
      <c r="E5" s="30"/>
    </row>
    <row r="6" spans="2:13" ht="15" customHeight="1">
      <c r="B6" s="34" t="s">
        <v>11</v>
      </c>
      <c r="C6" s="35"/>
      <c r="E6" s="31"/>
      <c r="F6" s="84" t="str">
        <f>IF(ISBLANK(D4),"",IF(D4&gt;D8,B4,B8))</f>
        <v>Анухин, Григорова</v>
      </c>
      <c r="G6" s="86"/>
      <c r="H6" s="26">
        <v>13</v>
      </c>
      <c r="I6" s="29"/>
    </row>
    <row r="7" spans="2:13" ht="15" customHeight="1">
      <c r="C7" s="35"/>
      <c r="E7" s="31"/>
      <c r="I7" s="30"/>
    </row>
    <row r="8" spans="2:13" ht="15" customHeight="1">
      <c r="B8" s="85" t="s">
        <v>55</v>
      </c>
      <c r="C8" s="86"/>
      <c r="D8" s="26">
        <v>3</v>
      </c>
      <c r="E8" s="32"/>
      <c r="I8" s="31"/>
    </row>
    <row r="9" spans="2:13" ht="15" customHeight="1">
      <c r="C9" s="35"/>
      <c r="I9" s="31"/>
    </row>
    <row r="10" spans="2:13" ht="15" customHeight="1">
      <c r="C10" s="35"/>
      <c r="G10" s="34" t="s">
        <v>11</v>
      </c>
      <c r="H10" s="35"/>
      <c r="I10" s="31"/>
      <c r="J10" s="84" t="str">
        <f>IF(ISBLANK(H6),"",IF(H6&gt;H14,F6,F14))</f>
        <v>Анухин, Григорова</v>
      </c>
      <c r="K10" s="85"/>
      <c r="L10" s="38"/>
      <c r="M10" s="33"/>
    </row>
    <row r="11" spans="2:13" ht="15" customHeight="1">
      <c r="C11" s="35"/>
      <c r="I11" s="31"/>
      <c r="M11" s="33"/>
    </row>
    <row r="12" spans="2:13" ht="15" customHeight="1">
      <c r="B12" s="85" t="s">
        <v>50</v>
      </c>
      <c r="C12" s="86"/>
      <c r="D12" s="26">
        <v>13</v>
      </c>
      <c r="E12" s="29"/>
      <c r="I12" s="31"/>
      <c r="M12" s="33"/>
    </row>
    <row r="13" spans="2:13" ht="15" customHeight="1">
      <c r="C13" s="35"/>
      <c r="E13" s="30"/>
      <c r="I13" s="31"/>
      <c r="M13" s="33"/>
    </row>
    <row r="14" spans="2:13" ht="15" customHeight="1">
      <c r="B14" s="34" t="s">
        <v>11</v>
      </c>
      <c r="C14" s="35"/>
      <c r="E14" s="31"/>
      <c r="F14" s="84" t="str">
        <f>IF(ISBLANK(D12),"",IF(D12&gt;D16,B12,B16))</f>
        <v>Дорошенко, Серёгина</v>
      </c>
      <c r="G14" s="86"/>
      <c r="H14" s="26">
        <v>0</v>
      </c>
      <c r="I14" s="32"/>
      <c r="M14" s="33"/>
    </row>
    <row r="15" spans="2:13" ht="15" customHeight="1">
      <c r="E15" s="31"/>
      <c r="M15" s="33"/>
    </row>
    <row r="16" spans="2:13" ht="15" customHeight="1">
      <c r="B16" s="85" t="s">
        <v>56</v>
      </c>
      <c r="C16" s="86"/>
      <c r="D16" s="26">
        <v>10</v>
      </c>
      <c r="E16" s="32"/>
      <c r="M16" s="33"/>
    </row>
    <row r="17" spans="2:13" ht="15" customHeight="1">
      <c r="M17" s="33"/>
    </row>
    <row r="20" spans="2:13" ht="15" customHeight="1">
      <c r="B20" s="85" t="str">
        <f>IF(ISBLANK(D4),"",IF(D4&gt;D8,B8,B4))</f>
        <v>Коржов, Николаева</v>
      </c>
      <c r="C20" s="86"/>
      <c r="D20" s="26">
        <v>13</v>
      </c>
      <c r="E20" s="29"/>
      <c r="F20" s="87"/>
      <c r="G20" s="87"/>
    </row>
    <row r="21" spans="2:13" ht="15" customHeight="1">
      <c r="E21" s="30"/>
    </row>
    <row r="22" spans="2:13" ht="15" customHeight="1">
      <c r="C22" s="34" t="s">
        <v>11</v>
      </c>
      <c r="E22" s="31"/>
      <c r="F22" s="84" t="str">
        <f>IF(ISBLANK(D20),"",IF(D20&gt;D24,B20,B24))</f>
        <v>Коржов, Николаева</v>
      </c>
      <c r="G22" s="85"/>
    </row>
    <row r="23" spans="2:13" ht="15" customHeight="1">
      <c r="E23" s="31"/>
    </row>
    <row r="24" spans="2:13" ht="15" customHeight="1">
      <c r="B24" s="85" t="str">
        <f>IF(ISBLANK(D12),"",IF(D12&gt;D16,B16,B12))</f>
        <v>Железняков, Турахаджаева</v>
      </c>
      <c r="C24" s="86"/>
      <c r="D24" s="26">
        <v>6</v>
      </c>
      <c r="E24" s="32"/>
    </row>
  </sheetData>
  <mergeCells count="12">
    <mergeCell ref="B24:C24"/>
    <mergeCell ref="B20:C20"/>
    <mergeCell ref="F20:G20"/>
    <mergeCell ref="B12:C12"/>
    <mergeCell ref="F14:G14"/>
    <mergeCell ref="B16:C16"/>
    <mergeCell ref="B1:K1"/>
    <mergeCell ref="B4:C4"/>
    <mergeCell ref="F6:G6"/>
    <mergeCell ref="B8:C8"/>
    <mergeCell ref="J10:K10"/>
    <mergeCell ref="F22:G2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9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9" t="e">
        <f ca="1">#REF!&amp;#REF!</f>
        <v>#REF!</v>
      </c>
      <c r="J24" s="9" t="e">
        <f ca="1"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9" t="e">
        <f ca="1">#REF!&amp;#REF!</f>
        <v>#REF!</v>
      </c>
      <c r="J25" s="9" t="e">
        <f ca="1"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9" t="e">
        <f ca="1">#REF!&amp;#REF!</f>
        <v>#REF!</v>
      </c>
      <c r="J26" s="9" t="e">
        <f ca="1"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9" t="e">
        <f ca="1">#REF!&amp;#REF!</f>
        <v>#REF!</v>
      </c>
      <c r="J27" s="9" t="e">
        <f ca="1">#REF!&amp;#REF!</f>
        <v>#REF!</v>
      </c>
    </row>
    <row r="28" spans="9:28">
      <c r="I28" s="9" t="e">
        <f ca="1">#REF!&amp;#REF!</f>
        <v>#REF!</v>
      </c>
      <c r="J28" s="9" t="e">
        <f ca="1"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9" t="e">
        <f ca="1">#REF!&amp;#REF!</f>
        <v>#REF!</v>
      </c>
      <c r="J30" s="9" t="e">
        <f ca="1"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9" t="e">
        <f ca="1">#REF!&amp;#REF!</f>
        <v>#REF!</v>
      </c>
      <c r="J31" s="9" t="e">
        <f ca="1"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9" t="e">
        <f ca="1">#REF!&amp;#REF!</f>
        <v>#REF!</v>
      </c>
      <c r="J32" s="9" t="e">
        <f ca="1"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9" t="e">
        <f ca="1">#REF!&amp;#REF!</f>
        <v>#REF!</v>
      </c>
      <c r="J33" s="9" t="e">
        <f ca="1"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9" t="e">
        <f ca="1">#REF!&amp;#REF!</f>
        <v>#REF!</v>
      </c>
      <c r="J34" s="9" t="e">
        <f ca="1"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9" t="e">
        <f ca="1">#REF!&amp;#REF!</f>
        <v>#REF!</v>
      </c>
      <c r="J36" s="9" t="e">
        <f ca="1"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9" t="e">
        <f ca="1">#REF!&amp;#REF!</f>
        <v>#REF!</v>
      </c>
      <c r="J37" s="9" t="e">
        <f ca="1"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9" t="e">
        <f ca="1">#REF!&amp;#REF!</f>
        <v>#REF!</v>
      </c>
      <c r="J38" s="9" t="e">
        <f ca="1"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9" t="e">
        <f ca="1">#REF!&amp;#REF!</f>
        <v>#REF!</v>
      </c>
      <c r="J39" s="9" t="e">
        <f ca="1"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9" t="e">
        <f ca="1">#REF!&amp;#REF!</f>
        <v>#REF!</v>
      </c>
      <c r="J40" s="9" t="e">
        <f ca="1"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9" t="e">
        <f ca="1">#REF!&amp;#REF!</f>
        <v>#REF!</v>
      </c>
      <c r="J42" s="9" t="e">
        <f ca="1"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9" t="e">
        <f ca="1">#REF!&amp;#REF!</f>
        <v>#REF!</v>
      </c>
      <c r="J43" s="9" t="e">
        <f ca="1"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9" t="e">
        <f ca="1">#REF!&amp;#REF!</f>
        <v>#REF!</v>
      </c>
      <c r="J44" s="9" t="e">
        <f ca="1">#REF!&amp;#REF!</f>
        <v>#REF!</v>
      </c>
    </row>
    <row r="45" spans="9:19">
      <c r="I45" s="9" t="e">
        <f ca="1">#REF!&amp;#REF!</f>
        <v>#REF!</v>
      </c>
      <c r="J45" s="9" t="e">
        <f ca="1">#REF!&amp;#REF!</f>
        <v>#REF!</v>
      </c>
    </row>
    <row r="46" spans="9:19">
      <c r="I46" s="9" t="e">
        <f ca="1">#REF!&amp;#REF!</f>
        <v>#REF!</v>
      </c>
      <c r="J46" s="9" t="e">
        <f ca="1">#REF!&amp;#REF!</f>
        <v>#REF!</v>
      </c>
    </row>
    <row r="48" spans="9:19">
      <c r="I48" s="9" t="e">
        <f ca="1">#REF!&amp;#REF!</f>
        <v>#REF!</v>
      </c>
      <c r="J48" s="9" t="e">
        <f ca="1">#REF!&amp;#REF!</f>
        <v>#REF!</v>
      </c>
    </row>
    <row r="49" spans="9:10">
      <c r="I49" s="9" t="e">
        <f ca="1">#REF!&amp;#REF!</f>
        <v>#REF!</v>
      </c>
      <c r="J49" s="9" t="e">
        <f ca="1">#REF!&amp;#REF!</f>
        <v>#REF!</v>
      </c>
    </row>
    <row r="50" spans="9:10">
      <c r="I50" s="9" t="e">
        <f ca="1">#REF!&amp;#REF!</f>
        <v>#REF!</v>
      </c>
      <c r="J50" s="9" t="e">
        <f ca="1">#REF!&amp;#REF!</f>
        <v>#REF!</v>
      </c>
    </row>
    <row r="51" spans="9:10">
      <c r="I51" s="9" t="e">
        <f ca="1">#REF!&amp;#REF!</f>
        <v>#REF!</v>
      </c>
      <c r="J51" s="9" t="e">
        <f ca="1">#REF!&amp;#REF!</f>
        <v>#REF!</v>
      </c>
    </row>
    <row r="52" spans="9:10">
      <c r="I52" s="9" t="e">
        <f ca="1">#REF!&amp;#REF!</f>
        <v>#REF!</v>
      </c>
      <c r="J52" s="9" t="e">
        <f ca="1">#REF!&amp;#REF!</f>
        <v>#REF!</v>
      </c>
    </row>
    <row r="54" spans="9:10">
      <c r="I54" s="9" t="e">
        <f ca="1">#REF!&amp;#REF!</f>
        <v>#REF!</v>
      </c>
      <c r="J54" s="9" t="e">
        <f ca="1">#REF!&amp;#REF!</f>
        <v>#REF!</v>
      </c>
    </row>
    <row r="55" spans="9:10">
      <c r="I55" s="9" t="e">
        <f ca="1">#REF!&amp;#REF!</f>
        <v>#REF!</v>
      </c>
      <c r="J55" s="9" t="e">
        <f ca="1">#REF!&amp;#REF!</f>
        <v>#REF!</v>
      </c>
    </row>
    <row r="56" spans="9:10">
      <c r="I56" s="9" t="e">
        <f ca="1">#REF!&amp;#REF!</f>
        <v>#REF!</v>
      </c>
      <c r="J56" s="9" t="e">
        <f ca="1">#REF!&amp;#REF!</f>
        <v>#REF!</v>
      </c>
    </row>
    <row r="57" spans="9:10">
      <c r="I57" s="9" t="e">
        <f ca="1">#REF!&amp;#REF!</f>
        <v>#REF!</v>
      </c>
      <c r="J57" s="9" t="e">
        <f ca="1">#REF!&amp;#REF!</f>
        <v>#REF!</v>
      </c>
    </row>
    <row r="58" spans="9:10">
      <c r="I58" s="9" t="e">
        <f ca="1">#REF!&amp;#REF!</f>
        <v>#REF!</v>
      </c>
      <c r="J58" s="9" t="e">
        <f ca="1">#REF!&amp;#REF!</f>
        <v>#REF!</v>
      </c>
    </row>
    <row r="60" spans="9:10">
      <c r="I60" s="9" t="e">
        <f ca="1">#REF!&amp;#REF!</f>
        <v>#REF!</v>
      </c>
      <c r="J60" s="9" t="e">
        <f ca="1">#REF!&amp;#REF!</f>
        <v>#REF!</v>
      </c>
    </row>
    <row r="61" spans="9:10">
      <c r="I61" s="9" t="e">
        <f ca="1">#REF!&amp;#REF!</f>
        <v>#REF!</v>
      </c>
      <c r="J61" s="9" t="e">
        <f ca="1">#REF!&amp;#REF!</f>
        <v>#REF!</v>
      </c>
    </row>
    <row r="62" spans="9:10">
      <c r="I62" s="9" t="e">
        <f ca="1">#REF!&amp;#REF!</f>
        <v>#REF!</v>
      </c>
      <c r="J62" s="9" t="e">
        <f ca="1">#REF!&amp;#REF!</f>
        <v>#REF!</v>
      </c>
    </row>
    <row r="63" spans="9:10">
      <c r="I63" s="9" t="e">
        <f ca="1">#REF!&amp;#REF!</f>
        <v>#REF!</v>
      </c>
      <c r="J63" s="9" t="e">
        <f ca="1">#REF!&amp;#REF!</f>
        <v>#REF!</v>
      </c>
    </row>
    <row r="67" spans="12:12">
      <c r="L67" t="s">
        <v>10</v>
      </c>
    </row>
  </sheetData>
  <sheetCalcPr fullCalcOnLoad="1"/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5"/>
  <sheetViews>
    <sheetView workbookViewId="0">
      <selection activeCell="B1" sqref="B1:K1"/>
    </sheetView>
  </sheetViews>
  <sheetFormatPr defaultRowHeight="15"/>
  <cols>
    <col min="1" max="1" width="4" style="28" customWidth="1"/>
    <col min="2" max="12" width="10.28515625" customWidth="1"/>
    <col min="13" max="13" width="10.28515625" style="37" customWidth="1"/>
    <col min="14" max="15" width="10.28515625" customWidth="1"/>
  </cols>
  <sheetData>
    <row r="1" spans="2:13" ht="36" customHeight="1">
      <c r="B1" s="83" t="s">
        <v>20</v>
      </c>
      <c r="C1" s="83"/>
      <c r="D1" s="83"/>
      <c r="E1" s="83"/>
      <c r="F1" s="83"/>
      <c r="G1" s="83"/>
      <c r="H1" s="83"/>
      <c r="I1" s="83"/>
      <c r="J1" s="83"/>
      <c r="K1" s="83"/>
      <c r="M1"/>
    </row>
    <row r="2" spans="2:13" ht="15.75" thickBot="1">
      <c r="M2"/>
    </row>
    <row r="3" spans="2:13" ht="30" customHeight="1" thickBot="1">
      <c r="B3" s="25"/>
      <c r="C3" s="67" t="s">
        <v>0</v>
      </c>
      <c r="D3" s="68"/>
      <c r="E3" s="6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>
      <c r="B4" s="70">
        <v>1</v>
      </c>
      <c r="C4" s="71" t="s">
        <v>23</v>
      </c>
      <c r="D4" s="72"/>
      <c r="E4" s="73"/>
      <c r="F4" s="10" t="s">
        <v>7</v>
      </c>
      <c r="G4" s="6" t="str">
        <f ca="1">INDIRECT(ADDRESS(23,6))&amp;":"&amp;INDIRECT(ADDRESS(23,7))</f>
        <v>13:1</v>
      </c>
      <c r="H4" s="6" t="str">
        <f ca="1">INDIRECT(ADDRESS(26,7))&amp;":"&amp;INDIRECT(ADDRESS(26,6))</f>
        <v>13:9</v>
      </c>
      <c r="I4" s="6" t="str">
        <f ca="1">INDIRECT(ADDRESS(30,6))&amp;":"&amp;INDIRECT(ADDRESS(30,7))</f>
        <v>13:10</v>
      </c>
      <c r="J4" s="21" t="str">
        <f ca="1">INDIRECT(ADDRESS(35,7))&amp;":"&amp;INDIRECT(ADDRESS(35,6))</f>
        <v>13:2</v>
      </c>
      <c r="K4" s="81">
        <f ca="1">IF(COUNT(F5:J5)=0,"",COUNTIF(F5:J5,"&gt;0")+0.5*COUNTIF(F5:J5,0))</f>
        <v>4</v>
      </c>
      <c r="L4" s="24"/>
      <c r="M4" s="82"/>
    </row>
    <row r="5" spans="2:13" ht="24" customHeight="1">
      <c r="B5" s="54"/>
      <c r="C5" s="55"/>
      <c r="D5" s="56"/>
      <c r="E5" s="57"/>
      <c r="F5" s="14" t="s">
        <v>7</v>
      </c>
      <c r="G5" s="17">
        <f ca="1">IF(LEN(INDIRECT(ADDRESS(ROW()-1, COLUMN())))=1,"",INDIRECT(ADDRESS(23,6))-INDIRECT(ADDRESS(23,7)))</f>
        <v>12</v>
      </c>
      <c r="H5" s="17">
        <f ca="1">IF(LEN(INDIRECT(ADDRESS(ROW()-1, COLUMN())))=1,"",INDIRECT(ADDRESS(26,7))-INDIRECT(ADDRESS(26,6)))</f>
        <v>4</v>
      </c>
      <c r="I5" s="17">
        <f ca="1">IF(LEN(INDIRECT(ADDRESS(ROW()-1, COLUMN())))=1,"",INDIRECT(ADDRESS(30,6))-INDIRECT(ADDRESS(30,7)))</f>
        <v>3</v>
      </c>
      <c r="J5" s="18">
        <f ca="1">IF(LEN(INDIRECT(ADDRESS(ROW()-1, COLUMN())))=1,"",INDIRECT(ADDRESS(35,7))-INDIRECT(ADDRESS(35,6)))</f>
        <v>11</v>
      </c>
      <c r="K5" s="79"/>
      <c r="L5" s="17">
        <f ca="1">IF(COUNT(F5:J5)=0,"",SUM(F5:J5))</f>
        <v>30</v>
      </c>
      <c r="M5" s="77"/>
    </row>
    <row r="6" spans="2:13" ht="24" customHeight="1">
      <c r="B6" s="53">
        <v>2</v>
      </c>
      <c r="C6" s="55" t="s">
        <v>24</v>
      </c>
      <c r="D6" s="56"/>
      <c r="E6" s="57"/>
      <c r="F6" s="12" t="str">
        <f ca="1">INDIRECT(ADDRESS(23,7))&amp;":"&amp;INDIRECT(ADDRESS(23,6))</f>
        <v>1:13</v>
      </c>
      <c r="G6" s="8" t="s">
        <v>7</v>
      </c>
      <c r="H6" s="7" t="str">
        <f ca="1">INDIRECT(ADDRESS(31,6))&amp;":"&amp;INDIRECT(ADDRESS(31,7))</f>
        <v>13:1</v>
      </c>
      <c r="I6" s="7" t="str">
        <f ca="1">INDIRECT(ADDRESS(34,7))&amp;":"&amp;INDIRECT(ADDRESS(34,6))</f>
        <v>13:5</v>
      </c>
      <c r="J6" s="11" t="str">
        <f ca="1">INDIRECT(ADDRESS(18,6))&amp;":"&amp;INDIRECT(ADDRESS(18,7))</f>
        <v>13:8</v>
      </c>
      <c r="K6" s="79">
        <f ca="1">IF(COUNT(F7:J7)=0,"",COUNTIF(F7:J7,"&gt;0")+0.5*COUNTIF(F7:J7,0))</f>
        <v>3</v>
      </c>
      <c r="L6" s="17"/>
      <c r="M6" s="77"/>
    </row>
    <row r="7" spans="2:13" ht="24" customHeight="1">
      <c r="B7" s="54"/>
      <c r="C7" s="55"/>
      <c r="D7" s="56"/>
      <c r="E7" s="57"/>
      <c r="F7" s="23">
        <f ca="1">IF(LEN(INDIRECT(ADDRESS(ROW()-1, COLUMN())))=1,"",INDIRECT(ADDRESS(23,7))-INDIRECT(ADDRESS(23,6)))</f>
        <v>-12</v>
      </c>
      <c r="G7" s="15" t="s">
        <v>7</v>
      </c>
      <c r="H7" s="17">
        <f ca="1">IF(LEN(INDIRECT(ADDRESS(ROW()-1, COLUMN())))=1,"",INDIRECT(ADDRESS(31,6))-INDIRECT(ADDRESS(31,7)))</f>
        <v>12</v>
      </c>
      <c r="I7" s="17">
        <f ca="1">IF(LEN(INDIRECT(ADDRESS(ROW()-1, COLUMN())))=1,"",INDIRECT(ADDRESS(34,7))-INDIRECT(ADDRESS(34,6)))</f>
        <v>8</v>
      </c>
      <c r="J7" s="18">
        <f ca="1">IF(LEN(INDIRECT(ADDRESS(ROW()-1, COLUMN())))=1,"",INDIRECT(ADDRESS(18,6))-INDIRECT(ADDRESS(18,7)))</f>
        <v>5</v>
      </c>
      <c r="K7" s="79"/>
      <c r="L7" s="17">
        <f ca="1">IF(COUNT(F7:J7)=0,"",SUM(F7:J7))</f>
        <v>13</v>
      </c>
      <c r="M7" s="77"/>
    </row>
    <row r="8" spans="2:13" ht="24" customHeight="1">
      <c r="B8" s="53">
        <v>3</v>
      </c>
      <c r="C8" s="55" t="s">
        <v>25</v>
      </c>
      <c r="D8" s="56"/>
      <c r="E8" s="57"/>
      <c r="F8" s="12" t="str">
        <f ca="1">INDIRECT(ADDRESS(26,6))&amp;":"&amp;INDIRECT(ADDRESS(26,7))</f>
        <v>9:13</v>
      </c>
      <c r="G8" s="7" t="str">
        <f ca="1">INDIRECT(ADDRESS(31,7))&amp;":"&amp;INDIRECT(ADDRESS(31,6))</f>
        <v>1:13</v>
      </c>
      <c r="H8" s="8" t="s">
        <v>7</v>
      </c>
      <c r="I8" s="7" t="str">
        <f ca="1">INDIRECT(ADDRESS(19,6))&amp;":"&amp;INDIRECT(ADDRESS(19,7))</f>
        <v>7:13</v>
      </c>
      <c r="J8" s="11" t="str">
        <f ca="1">INDIRECT(ADDRESS(22,7))&amp;":"&amp;INDIRECT(ADDRESS(22,6))</f>
        <v>7:13</v>
      </c>
      <c r="K8" s="79">
        <f ca="1">IF(COUNT(F9:J9)=0,"",COUNTIF(F9:J9,"&gt;0")+0.5*COUNTIF(F9:J9,0))</f>
        <v>0</v>
      </c>
      <c r="L8" s="17"/>
      <c r="M8" s="77"/>
    </row>
    <row r="9" spans="2:13" ht="24" customHeight="1">
      <c r="B9" s="54"/>
      <c r="C9" s="55"/>
      <c r="D9" s="56"/>
      <c r="E9" s="57"/>
      <c r="F9" s="23">
        <f ca="1">IF(LEN(INDIRECT(ADDRESS(ROW()-1, COLUMN())))=1,"",INDIRECT(ADDRESS(26,6))-INDIRECT(ADDRESS(26,7)))</f>
        <v>-4</v>
      </c>
      <c r="G9" s="17">
        <f ca="1">IF(LEN(INDIRECT(ADDRESS(ROW()-1, COLUMN())))=1,"",INDIRECT(ADDRESS(31,7))-INDIRECT(ADDRESS(31,6)))</f>
        <v>-12</v>
      </c>
      <c r="H9" s="15" t="s">
        <v>7</v>
      </c>
      <c r="I9" s="17">
        <f ca="1">IF(LEN(INDIRECT(ADDRESS(ROW()-1, COLUMN())))=1,"",INDIRECT(ADDRESS(19,6))-INDIRECT(ADDRESS(19,7)))</f>
        <v>-6</v>
      </c>
      <c r="J9" s="18">
        <f ca="1">IF(LEN(INDIRECT(ADDRESS(ROW()-1, COLUMN())))=1,"",INDIRECT(ADDRESS(22,7))-INDIRECT(ADDRESS(22,6)))</f>
        <v>-6</v>
      </c>
      <c r="K9" s="79"/>
      <c r="L9" s="17">
        <f ca="1">IF(COUNT(F9:J9)=0,"",SUM(F9:J9))</f>
        <v>-28</v>
      </c>
      <c r="M9" s="77"/>
    </row>
    <row r="10" spans="2:13" ht="24" customHeight="1">
      <c r="B10" s="53">
        <v>4</v>
      </c>
      <c r="C10" s="55" t="s">
        <v>26</v>
      </c>
      <c r="D10" s="56"/>
      <c r="E10" s="57"/>
      <c r="F10" s="12" t="str">
        <f ca="1">INDIRECT(ADDRESS(30,7))&amp;":"&amp;INDIRECT(ADDRESS(30,6))</f>
        <v>10:13</v>
      </c>
      <c r="G10" s="7" t="str">
        <f ca="1">INDIRECT(ADDRESS(34,6))&amp;":"&amp;INDIRECT(ADDRESS(34,7))</f>
        <v>5:13</v>
      </c>
      <c r="H10" s="7" t="str">
        <f ca="1">INDIRECT(ADDRESS(19,7))&amp;":"&amp;INDIRECT(ADDRESS(19,6))</f>
        <v>13:7</v>
      </c>
      <c r="I10" s="8" t="s">
        <v>7</v>
      </c>
      <c r="J10" s="11" t="str">
        <f ca="1">INDIRECT(ADDRESS(27,6))&amp;":"&amp;INDIRECT(ADDRESS(27,7))</f>
        <v>13:10</v>
      </c>
      <c r="K10" s="79">
        <f ca="1">IF(COUNT(F11:J11)=0,"",COUNTIF(F11:J11,"&gt;0")+0.5*COUNTIF(F11:J11,0))</f>
        <v>2</v>
      </c>
      <c r="L10" s="17"/>
      <c r="M10" s="77"/>
    </row>
    <row r="11" spans="2:13" ht="24" customHeight="1">
      <c r="B11" s="54"/>
      <c r="C11" s="55"/>
      <c r="D11" s="56"/>
      <c r="E11" s="57"/>
      <c r="F11" s="23">
        <f ca="1">IF(LEN(INDIRECT(ADDRESS(ROW()-1, COLUMN())))=1,"",INDIRECT(ADDRESS(30,7))-INDIRECT(ADDRESS(30,6)))</f>
        <v>-3</v>
      </c>
      <c r="G11" s="17">
        <f ca="1">IF(LEN(INDIRECT(ADDRESS(ROW()-1, COLUMN())))=1,"",INDIRECT(ADDRESS(34,6))-INDIRECT(ADDRESS(34,7)))</f>
        <v>-8</v>
      </c>
      <c r="H11" s="17">
        <f ca="1">IF(LEN(INDIRECT(ADDRESS(ROW()-1, COLUMN())))=1,"",INDIRECT(ADDRESS(19,7))-INDIRECT(ADDRESS(19,6)))</f>
        <v>6</v>
      </c>
      <c r="I11" s="15" t="s">
        <v>7</v>
      </c>
      <c r="J11" s="18">
        <f ca="1">IF(LEN(INDIRECT(ADDRESS(ROW()-1, COLUMN())))=1,"",INDIRECT(ADDRESS(27,6))-INDIRECT(ADDRESS(27,7)))</f>
        <v>3</v>
      </c>
      <c r="K11" s="79"/>
      <c r="L11" s="17">
        <f ca="1">IF(COUNT(F11:J11)=0,"",SUM(F11:J11))</f>
        <v>-2</v>
      </c>
      <c r="M11" s="77"/>
    </row>
    <row r="12" spans="2:13" ht="24" customHeight="1">
      <c r="B12" s="53">
        <v>5</v>
      </c>
      <c r="C12" s="55" t="s">
        <v>27</v>
      </c>
      <c r="D12" s="56"/>
      <c r="E12" s="57"/>
      <c r="F12" s="12" t="str">
        <f ca="1">INDIRECT(ADDRESS(35,6))&amp;":"&amp;INDIRECT(ADDRESS(35,7))</f>
        <v>2:13</v>
      </c>
      <c r="G12" s="7" t="str">
        <f ca="1">INDIRECT(ADDRESS(18,7))&amp;":"&amp;INDIRECT(ADDRESS(18,6))</f>
        <v>8:13</v>
      </c>
      <c r="H12" s="7" t="str">
        <f ca="1">INDIRECT(ADDRESS(22,6))&amp;":"&amp;INDIRECT(ADDRESS(22,7))</f>
        <v>13:7</v>
      </c>
      <c r="I12" s="7" t="str">
        <f ca="1">INDIRECT(ADDRESS(27,7))&amp;":"&amp;INDIRECT(ADDRESS(27,6))</f>
        <v>10:13</v>
      </c>
      <c r="J12" s="13" t="s">
        <v>7</v>
      </c>
      <c r="K12" s="79">
        <f ca="1">IF(COUNT(F13:J13)=0,"",COUNTIF(F13:J13,"&gt;0")+0.5*COUNTIF(F13:J13,0))</f>
        <v>1</v>
      </c>
      <c r="L12" s="17"/>
      <c r="M12" s="77"/>
    </row>
    <row r="13" spans="2:13" ht="24" customHeight="1" thickBot="1">
      <c r="B13" s="60"/>
      <c r="C13" s="61"/>
      <c r="D13" s="62"/>
      <c r="E13" s="63"/>
      <c r="F13" s="20">
        <f ca="1">IF(LEN(INDIRECT(ADDRESS(ROW()-1, COLUMN())))=1,"",INDIRECT(ADDRESS(35,6))-INDIRECT(ADDRESS(35,7)))</f>
        <v>-11</v>
      </c>
      <c r="G13" s="19">
        <f ca="1">IF(LEN(INDIRECT(ADDRESS(ROW()-1, COLUMN())))=1,"",INDIRECT(ADDRESS(18,7))-INDIRECT(ADDRESS(18,6)))</f>
        <v>-5</v>
      </c>
      <c r="H13" s="19">
        <f ca="1">IF(LEN(INDIRECT(ADDRESS(ROW()-1, COLUMN())))=1,"",INDIRECT(ADDRESS(22,6))-INDIRECT(ADDRESS(22,7)))</f>
        <v>6</v>
      </c>
      <c r="I13" s="19">
        <f ca="1">IF(LEN(INDIRECT(ADDRESS(ROW()-1, COLUMN())))=1,"",INDIRECT(ADDRESS(27,7))-INDIRECT(ADDRESS(27,6)))</f>
        <v>-3</v>
      </c>
      <c r="J13" s="16" t="s">
        <v>7</v>
      </c>
      <c r="K13" s="80"/>
      <c r="L13" s="19">
        <f ca="1">IF(COUNT(F13:J13)=0,"",SUM(F13:J13))</f>
        <v>-13</v>
      </c>
      <c r="M13" s="78"/>
    </row>
    <row r="14" spans="2:13">
      <c r="M14"/>
    </row>
    <row r="15" spans="2:13">
      <c r="M15"/>
    </row>
    <row r="16" spans="2:13">
      <c r="M16"/>
    </row>
    <row r="17" spans="1:13" s="41" customFormat="1" ht="30" customHeight="1" thickBot="1">
      <c r="A17" s="40"/>
      <c r="B17" s="52" t="s">
        <v>4</v>
      </c>
      <c r="C17" s="52"/>
      <c r="D17" s="52"/>
      <c r="E17" s="52"/>
      <c r="F17" s="52"/>
      <c r="G17" s="52"/>
      <c r="H17" s="52"/>
      <c r="I17" s="52"/>
      <c r="J17" s="52"/>
      <c r="K17" s="52"/>
      <c r="M17" s="48"/>
    </row>
    <row r="18" spans="1:13" s="41" customFormat="1" ht="30" customHeight="1" thickBot="1">
      <c r="A18" s="40"/>
      <c r="B18" s="46">
        <v>2</v>
      </c>
      <c r="C18" s="49" t="str">
        <f ca="1">IF(ISBLANK(INDIRECT(ADDRESS(B18*2+2,3))),"",INDIRECT(ADDRESS(B18*2+2,3)))</f>
        <v>Шубин Андрей</v>
      </c>
      <c r="D18" s="49"/>
      <c r="E18" s="50"/>
      <c r="F18" s="42">
        <v>13</v>
      </c>
      <c r="G18" s="43">
        <v>8</v>
      </c>
      <c r="H18" s="51" t="str">
        <f ca="1">IF(ISBLANK(INDIRECT(ADDRESS(K18*2+2,3))),"",INDIRECT(ADDRESS(K18*2+2,3)))</f>
        <v>Рожков Дмитрий</v>
      </c>
      <c r="I18" s="49"/>
      <c r="J18" s="49"/>
      <c r="K18" s="46">
        <v>5</v>
      </c>
      <c r="L18" s="44" t="s">
        <v>11</v>
      </c>
      <c r="M18" s="39"/>
    </row>
    <row r="19" spans="1:13" s="41" customFormat="1" ht="30" customHeight="1" thickBot="1">
      <c r="A19" s="40"/>
      <c r="B19" s="46">
        <v>3</v>
      </c>
      <c r="C19" s="49" t="str">
        <f ca="1">IF(ISBLANK(INDIRECT(ADDRESS(B19*2+2,3))),"",INDIRECT(ADDRESS(B19*2+2,3)))</f>
        <v>Маркин Сергей</v>
      </c>
      <c r="D19" s="49"/>
      <c r="E19" s="50"/>
      <c r="F19" s="42">
        <v>7</v>
      </c>
      <c r="G19" s="43">
        <v>13</v>
      </c>
      <c r="H19" s="51" t="str">
        <f ca="1">IF(ISBLANK(INDIRECT(ADDRESS(K19*2+2,3))),"",INDIRECT(ADDRESS(K19*2+2,3)))</f>
        <v>Карасёв Виталий</v>
      </c>
      <c r="I19" s="49"/>
      <c r="J19" s="49"/>
      <c r="K19" s="46">
        <v>4</v>
      </c>
      <c r="L19" s="44" t="s">
        <v>11</v>
      </c>
      <c r="M19" s="39"/>
    </row>
    <row r="20" spans="1:13" s="41" customFormat="1" ht="30" customHeight="1">
      <c r="A20" s="40"/>
      <c r="M20" s="47"/>
    </row>
    <row r="21" spans="1:13" s="41" customFormat="1" ht="30" customHeight="1" thickBot="1">
      <c r="A21" s="40"/>
      <c r="B21" s="52" t="s">
        <v>5</v>
      </c>
      <c r="C21" s="52"/>
      <c r="D21" s="52"/>
      <c r="E21" s="52"/>
      <c r="F21" s="52"/>
      <c r="G21" s="52"/>
      <c r="H21" s="52"/>
      <c r="I21" s="52"/>
      <c r="J21" s="52"/>
      <c r="K21" s="52"/>
      <c r="M21" s="47"/>
    </row>
    <row r="22" spans="1:13" s="41" customFormat="1" ht="30" customHeight="1" thickBot="1">
      <c r="A22" s="40"/>
      <c r="B22" s="46">
        <v>5</v>
      </c>
      <c r="C22" s="49" t="str">
        <f ca="1">IF(ISBLANK(INDIRECT(ADDRESS(B22*2+2,3))),"",INDIRECT(ADDRESS(B22*2+2,3)))</f>
        <v>Рожков Дмитрий</v>
      </c>
      <c r="D22" s="49"/>
      <c r="E22" s="50"/>
      <c r="F22" s="42">
        <v>13</v>
      </c>
      <c r="G22" s="43">
        <v>7</v>
      </c>
      <c r="H22" s="51" t="str">
        <f ca="1">IF(ISBLANK(INDIRECT(ADDRESS(K22*2+2,3))),"",INDIRECT(ADDRESS(K22*2+2,3)))</f>
        <v>Маркин Сергей</v>
      </c>
      <c r="I22" s="49"/>
      <c r="J22" s="49"/>
      <c r="K22" s="46">
        <v>3</v>
      </c>
      <c r="L22" s="44" t="s">
        <v>11</v>
      </c>
      <c r="M22" s="39"/>
    </row>
    <row r="23" spans="1:13" s="41" customFormat="1" ht="30" customHeight="1" thickBot="1">
      <c r="A23" s="40"/>
      <c r="B23" s="46">
        <v>1</v>
      </c>
      <c r="C23" s="49" t="str">
        <f ca="1">IF(ISBLANK(INDIRECT(ADDRESS(B23*2+2,3))),"",INDIRECT(ADDRESS(B23*2+2,3)))</f>
        <v>Анухин Виктор</v>
      </c>
      <c r="D23" s="49"/>
      <c r="E23" s="50"/>
      <c r="F23" s="42">
        <v>13</v>
      </c>
      <c r="G23" s="43">
        <v>1</v>
      </c>
      <c r="H23" s="51" t="str">
        <f ca="1">IF(ISBLANK(INDIRECT(ADDRESS(K23*2+2,3))),"",INDIRECT(ADDRESS(K23*2+2,3)))</f>
        <v>Шубин Андрей</v>
      </c>
      <c r="I23" s="49"/>
      <c r="J23" s="49"/>
      <c r="K23" s="46">
        <v>2</v>
      </c>
      <c r="L23" s="44" t="s">
        <v>11</v>
      </c>
      <c r="M23" s="39"/>
    </row>
    <row r="24" spans="1:13" s="41" customFormat="1" ht="30" customHeight="1">
      <c r="A24" s="40"/>
      <c r="M24" s="47"/>
    </row>
    <row r="25" spans="1:13" s="41" customFormat="1" ht="30" customHeight="1" thickBot="1">
      <c r="A25" s="40"/>
      <c r="B25" s="52" t="s">
        <v>6</v>
      </c>
      <c r="C25" s="52"/>
      <c r="D25" s="52"/>
      <c r="E25" s="52"/>
      <c r="F25" s="52"/>
      <c r="G25" s="52"/>
      <c r="H25" s="52"/>
      <c r="I25" s="52"/>
      <c r="J25" s="52"/>
      <c r="K25" s="52"/>
      <c r="M25" s="47"/>
    </row>
    <row r="26" spans="1:13" s="41" customFormat="1" ht="30" customHeight="1" thickBot="1">
      <c r="A26" s="40"/>
      <c r="B26" s="46">
        <v>3</v>
      </c>
      <c r="C26" s="49" t="str">
        <f ca="1">IF(ISBLANK(INDIRECT(ADDRESS(B26*2+2,3))),"",INDIRECT(ADDRESS(B26*2+2,3)))</f>
        <v>Маркин Сергей</v>
      </c>
      <c r="D26" s="49"/>
      <c r="E26" s="50"/>
      <c r="F26" s="42">
        <v>9</v>
      </c>
      <c r="G26" s="43">
        <v>13</v>
      </c>
      <c r="H26" s="51" t="str">
        <f ca="1">IF(ISBLANK(INDIRECT(ADDRESS(K26*2+2,3))),"",INDIRECT(ADDRESS(K26*2+2,3)))</f>
        <v>Анухин Виктор</v>
      </c>
      <c r="I26" s="49"/>
      <c r="J26" s="49"/>
      <c r="K26" s="46">
        <v>1</v>
      </c>
      <c r="L26" s="44" t="s">
        <v>11</v>
      </c>
      <c r="M26" s="39"/>
    </row>
    <row r="27" spans="1:13" s="41" customFormat="1" ht="30" customHeight="1" thickBot="1">
      <c r="A27" s="40"/>
      <c r="B27" s="46">
        <v>4</v>
      </c>
      <c r="C27" s="49" t="str">
        <f ca="1">IF(ISBLANK(INDIRECT(ADDRESS(B27*2+2,3))),"",INDIRECT(ADDRESS(B27*2+2,3)))</f>
        <v>Карасёв Виталий</v>
      </c>
      <c r="D27" s="49"/>
      <c r="E27" s="50"/>
      <c r="F27" s="42">
        <v>13</v>
      </c>
      <c r="G27" s="43">
        <v>10</v>
      </c>
      <c r="H27" s="51" t="str">
        <f ca="1">IF(ISBLANK(INDIRECT(ADDRESS(K27*2+2,3))),"",INDIRECT(ADDRESS(K27*2+2,3)))</f>
        <v>Рожков Дмитрий</v>
      </c>
      <c r="I27" s="49"/>
      <c r="J27" s="49"/>
      <c r="K27" s="46">
        <v>5</v>
      </c>
      <c r="L27" s="44" t="s">
        <v>11</v>
      </c>
      <c r="M27" s="39"/>
    </row>
    <row r="28" spans="1:13" s="41" customFormat="1" ht="30" customHeight="1">
      <c r="A28" s="40"/>
      <c r="M28" s="47"/>
    </row>
    <row r="29" spans="1:13" s="41" customFormat="1" ht="30" customHeight="1" thickBot="1">
      <c r="A29" s="40"/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M29" s="47"/>
    </row>
    <row r="30" spans="1:13" s="41" customFormat="1" ht="30" customHeight="1" thickBot="1">
      <c r="A30" s="40"/>
      <c r="B30" s="46">
        <v>1</v>
      </c>
      <c r="C30" s="49" t="str">
        <f ca="1">IF(ISBLANK(INDIRECT(ADDRESS(B30*2+2,3))),"",INDIRECT(ADDRESS(B30*2+2,3)))</f>
        <v>Анухин Виктор</v>
      </c>
      <c r="D30" s="49"/>
      <c r="E30" s="50"/>
      <c r="F30" s="42">
        <v>13</v>
      </c>
      <c r="G30" s="43">
        <v>10</v>
      </c>
      <c r="H30" s="51" t="str">
        <f ca="1">IF(ISBLANK(INDIRECT(ADDRESS(K30*2+2,3))),"",INDIRECT(ADDRESS(K30*2+2,3)))</f>
        <v>Карасёв Виталий</v>
      </c>
      <c r="I30" s="49"/>
      <c r="J30" s="49"/>
      <c r="K30" s="46">
        <v>4</v>
      </c>
      <c r="L30" s="44" t="s">
        <v>11</v>
      </c>
      <c r="M30" s="39"/>
    </row>
    <row r="31" spans="1:13" s="41" customFormat="1" ht="30" customHeight="1" thickBot="1">
      <c r="A31" s="40"/>
      <c r="B31" s="46">
        <v>2</v>
      </c>
      <c r="C31" s="49" t="str">
        <f ca="1">IF(ISBLANK(INDIRECT(ADDRESS(B31*2+2,3))),"",INDIRECT(ADDRESS(B31*2+2,3)))</f>
        <v>Шубин Андрей</v>
      </c>
      <c r="D31" s="49"/>
      <c r="E31" s="50"/>
      <c r="F31" s="42">
        <v>13</v>
      </c>
      <c r="G31" s="43">
        <v>1</v>
      </c>
      <c r="H31" s="51" t="str">
        <f ca="1">IF(ISBLANK(INDIRECT(ADDRESS(K31*2+2,3))),"",INDIRECT(ADDRESS(K31*2+2,3)))</f>
        <v>Маркин Сергей</v>
      </c>
      <c r="I31" s="49"/>
      <c r="J31" s="49"/>
      <c r="K31" s="46">
        <v>3</v>
      </c>
      <c r="L31" s="44" t="s">
        <v>11</v>
      </c>
      <c r="M31" s="39"/>
    </row>
    <row r="32" spans="1:13" s="41" customFormat="1" ht="30" customHeight="1">
      <c r="A32" s="40"/>
      <c r="M32" s="47"/>
    </row>
    <row r="33" spans="1:13" s="41" customFormat="1" ht="30" customHeight="1" thickBot="1">
      <c r="A33" s="40"/>
      <c r="B33" s="52" t="s">
        <v>9</v>
      </c>
      <c r="C33" s="52"/>
      <c r="D33" s="52"/>
      <c r="E33" s="52"/>
      <c r="F33" s="52"/>
      <c r="G33" s="52"/>
      <c r="H33" s="52"/>
      <c r="I33" s="52"/>
      <c r="J33" s="52"/>
      <c r="K33" s="52"/>
      <c r="M33" s="47"/>
    </row>
    <row r="34" spans="1:13" s="41" customFormat="1" ht="30" customHeight="1" thickBot="1">
      <c r="A34" s="40"/>
      <c r="B34" s="46">
        <v>4</v>
      </c>
      <c r="C34" s="49" t="str">
        <f ca="1">IF(ISBLANK(INDIRECT(ADDRESS(B34*2+2,3))),"",INDIRECT(ADDRESS(B34*2+2,3)))</f>
        <v>Карасёв Виталий</v>
      </c>
      <c r="D34" s="49"/>
      <c r="E34" s="50"/>
      <c r="F34" s="42">
        <v>5</v>
      </c>
      <c r="G34" s="43">
        <v>13</v>
      </c>
      <c r="H34" s="51" t="str">
        <f ca="1">IF(ISBLANK(INDIRECT(ADDRESS(K34*2+2,3))),"",INDIRECT(ADDRESS(K34*2+2,3)))</f>
        <v>Шубин Андрей</v>
      </c>
      <c r="I34" s="49"/>
      <c r="J34" s="49"/>
      <c r="K34" s="46">
        <v>2</v>
      </c>
      <c r="L34" s="44" t="s">
        <v>11</v>
      </c>
      <c r="M34" s="39"/>
    </row>
    <row r="35" spans="1:13" s="41" customFormat="1" ht="30" customHeight="1" thickBot="1">
      <c r="A35" s="40"/>
      <c r="B35" s="46">
        <v>5</v>
      </c>
      <c r="C35" s="49" t="str">
        <f ca="1">IF(ISBLANK(INDIRECT(ADDRESS(B35*2+2,3))),"",INDIRECT(ADDRESS(B35*2+2,3)))</f>
        <v>Рожков Дмитрий</v>
      </c>
      <c r="D35" s="49"/>
      <c r="E35" s="50"/>
      <c r="F35" s="42">
        <v>2</v>
      </c>
      <c r="G35" s="43">
        <v>13</v>
      </c>
      <c r="H35" s="51" t="str">
        <f ca="1">IF(ISBLANK(INDIRECT(ADDRESS(K35*2+2,3))),"",INDIRECT(ADDRESS(K35*2+2,3)))</f>
        <v>Анухин Виктор</v>
      </c>
      <c r="I35" s="49"/>
      <c r="J35" s="49"/>
      <c r="K35" s="46">
        <v>1</v>
      </c>
      <c r="L35" s="44" t="s">
        <v>11</v>
      </c>
      <c r="M35" s="39"/>
    </row>
  </sheetData>
  <sheetCalcPr fullCalcOnLoad="1"/>
  <mergeCells count="47">
    <mergeCell ref="C3:E3"/>
    <mergeCell ref="B4:B5"/>
    <mergeCell ref="C4:E5"/>
    <mergeCell ref="K4:K5"/>
    <mergeCell ref="M4:M5"/>
    <mergeCell ref="B1:K1"/>
    <mergeCell ref="M8:M9"/>
    <mergeCell ref="B10:B11"/>
    <mergeCell ref="C10:E11"/>
    <mergeCell ref="K10:K11"/>
    <mergeCell ref="M10:M11"/>
    <mergeCell ref="M6:M7"/>
    <mergeCell ref="B6:B7"/>
    <mergeCell ref="C6:E7"/>
    <mergeCell ref="K6:K7"/>
    <mergeCell ref="B8:B9"/>
    <mergeCell ref="C8:E9"/>
    <mergeCell ref="K8:K9"/>
    <mergeCell ref="B12:B13"/>
    <mergeCell ref="C12:E13"/>
    <mergeCell ref="K12:K13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M12:M13"/>
    <mergeCell ref="B17:K17"/>
    <mergeCell ref="H18:J18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honeticPr fontId="12" type="noConversion"/>
  <printOptions horizontalCentered="1"/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16" workbookViewId="0">
      <selection activeCell="B1" sqref="B1:K1"/>
    </sheetView>
  </sheetViews>
  <sheetFormatPr defaultRowHeight="15"/>
  <cols>
    <col min="1" max="1" width="4" style="28" customWidth="1"/>
    <col min="2" max="12" width="10.28515625" customWidth="1"/>
    <col min="13" max="13" width="10.28515625" style="37" customWidth="1"/>
    <col min="14" max="15" width="10.28515625" customWidth="1"/>
  </cols>
  <sheetData>
    <row r="1" spans="2:13" ht="36" customHeight="1">
      <c r="B1" s="83" t="s">
        <v>21</v>
      </c>
      <c r="C1" s="83"/>
      <c r="D1" s="83"/>
      <c r="E1" s="83"/>
      <c r="F1" s="83"/>
      <c r="G1" s="83"/>
      <c r="H1" s="83"/>
      <c r="I1" s="83"/>
      <c r="J1" s="83"/>
      <c r="K1" s="83"/>
      <c r="M1"/>
    </row>
    <row r="2" spans="2:13" ht="15.75" thickBot="1">
      <c r="M2"/>
    </row>
    <row r="3" spans="2:13" ht="30" customHeight="1" thickBot="1">
      <c r="B3" s="25"/>
      <c r="C3" s="67" t="s">
        <v>0</v>
      </c>
      <c r="D3" s="68"/>
      <c r="E3" s="6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>
      <c r="B4" s="70">
        <v>1</v>
      </c>
      <c r="C4" s="71" t="s">
        <v>28</v>
      </c>
      <c r="D4" s="72"/>
      <c r="E4" s="73"/>
      <c r="F4" s="10" t="s">
        <v>7</v>
      </c>
      <c r="G4" s="6" t="str">
        <f ca="1">INDIRECT(ADDRESS(23,6))&amp;":"&amp;INDIRECT(ADDRESS(23,7))</f>
        <v>10:11</v>
      </c>
      <c r="H4" s="6" t="str">
        <f ca="1">INDIRECT(ADDRESS(26,7))&amp;":"&amp;INDIRECT(ADDRESS(26,6))</f>
        <v>11:10</v>
      </c>
      <c r="I4" s="6" t="str">
        <f ca="1">INDIRECT(ADDRESS(30,6))&amp;":"&amp;INDIRECT(ADDRESS(30,7))</f>
        <v>11:13</v>
      </c>
      <c r="J4" s="21" t="str">
        <f ca="1">INDIRECT(ADDRESS(35,7))&amp;":"&amp;INDIRECT(ADDRESS(35,6))</f>
        <v>13:0</v>
      </c>
      <c r="K4" s="81">
        <f ca="1">IF(COUNT(F5:J5)=0,"",COUNTIF(F5:J5,"&gt;0")+0.5*COUNTIF(F5:J5,0))</f>
        <v>2</v>
      </c>
      <c r="L4" s="24"/>
      <c r="M4" s="82"/>
    </row>
    <row r="5" spans="2:13" ht="24" customHeight="1">
      <c r="B5" s="54"/>
      <c r="C5" s="55"/>
      <c r="D5" s="56"/>
      <c r="E5" s="57"/>
      <c r="F5" s="14" t="s">
        <v>7</v>
      </c>
      <c r="G5" s="17">
        <f ca="1">IF(LEN(INDIRECT(ADDRESS(ROW()-1, COLUMN())))=1,"",INDIRECT(ADDRESS(23,6))-INDIRECT(ADDRESS(23,7)))</f>
        <v>-1</v>
      </c>
      <c r="H5" s="17">
        <f ca="1">IF(LEN(INDIRECT(ADDRESS(ROW()-1, COLUMN())))=1,"",INDIRECT(ADDRESS(26,7))-INDIRECT(ADDRESS(26,6)))</f>
        <v>1</v>
      </c>
      <c r="I5" s="17">
        <f ca="1">IF(LEN(INDIRECT(ADDRESS(ROW()-1, COLUMN())))=1,"",INDIRECT(ADDRESS(30,6))-INDIRECT(ADDRESS(30,7)))</f>
        <v>-2</v>
      </c>
      <c r="J5" s="18">
        <f ca="1">IF(LEN(INDIRECT(ADDRESS(ROW()-1, COLUMN())))=1,"",INDIRECT(ADDRESS(35,7))-INDIRECT(ADDRESS(35,6)))</f>
        <v>13</v>
      </c>
      <c r="K5" s="79"/>
      <c r="L5" s="17">
        <f ca="1">IF(COUNT(F5:J5)=0,"",SUM(F5:J5))</f>
        <v>11</v>
      </c>
      <c r="M5" s="77"/>
    </row>
    <row r="6" spans="2:13" ht="24" customHeight="1">
      <c r="B6" s="53">
        <v>2</v>
      </c>
      <c r="C6" s="55" t="s">
        <v>29</v>
      </c>
      <c r="D6" s="56"/>
      <c r="E6" s="57"/>
      <c r="F6" s="12" t="str">
        <f ca="1">INDIRECT(ADDRESS(23,7))&amp;":"&amp;INDIRECT(ADDRESS(23,6))</f>
        <v>11:10</v>
      </c>
      <c r="G6" s="8" t="s">
        <v>7</v>
      </c>
      <c r="H6" s="7" t="str">
        <f ca="1">INDIRECT(ADDRESS(31,6))&amp;":"&amp;INDIRECT(ADDRESS(31,7))</f>
        <v>6:13</v>
      </c>
      <c r="I6" s="7" t="str">
        <f ca="1">INDIRECT(ADDRESS(34,7))&amp;":"&amp;INDIRECT(ADDRESS(34,6))</f>
        <v>13:8</v>
      </c>
      <c r="J6" s="11" t="str">
        <f ca="1">INDIRECT(ADDRESS(18,6))&amp;":"&amp;INDIRECT(ADDRESS(18,7))</f>
        <v>13:3</v>
      </c>
      <c r="K6" s="79">
        <f ca="1">IF(COUNT(F7:J7)=0,"",COUNTIF(F7:J7,"&gt;0")+0.5*COUNTIF(F7:J7,0))</f>
        <v>3</v>
      </c>
      <c r="L6" s="17"/>
      <c r="M6" s="77"/>
    </row>
    <row r="7" spans="2:13" ht="24" customHeight="1">
      <c r="B7" s="54"/>
      <c r="C7" s="55"/>
      <c r="D7" s="56"/>
      <c r="E7" s="57"/>
      <c r="F7" s="23">
        <f ca="1">IF(LEN(INDIRECT(ADDRESS(ROW()-1, COLUMN())))=1,"",INDIRECT(ADDRESS(23,7))-INDIRECT(ADDRESS(23,6)))</f>
        <v>1</v>
      </c>
      <c r="G7" s="15" t="s">
        <v>7</v>
      </c>
      <c r="H7" s="17">
        <f ca="1">IF(LEN(INDIRECT(ADDRESS(ROW()-1, COLUMN())))=1,"",INDIRECT(ADDRESS(31,6))-INDIRECT(ADDRESS(31,7)))</f>
        <v>-7</v>
      </c>
      <c r="I7" s="17">
        <f ca="1">IF(LEN(INDIRECT(ADDRESS(ROW()-1, COLUMN())))=1,"",INDIRECT(ADDRESS(34,7))-INDIRECT(ADDRESS(34,6)))</f>
        <v>5</v>
      </c>
      <c r="J7" s="18">
        <f ca="1">IF(LEN(INDIRECT(ADDRESS(ROW()-1, COLUMN())))=1,"",INDIRECT(ADDRESS(18,6))-INDIRECT(ADDRESS(18,7)))</f>
        <v>10</v>
      </c>
      <c r="K7" s="79"/>
      <c r="L7" s="17">
        <f ca="1">IF(COUNT(F7:J7)=0,"",SUM(F7:J7))</f>
        <v>9</v>
      </c>
      <c r="M7" s="77"/>
    </row>
    <row r="8" spans="2:13" ht="24" customHeight="1">
      <c r="B8" s="53">
        <v>3</v>
      </c>
      <c r="C8" s="55" t="s">
        <v>30</v>
      </c>
      <c r="D8" s="56"/>
      <c r="E8" s="57"/>
      <c r="F8" s="12" t="str">
        <f ca="1">INDIRECT(ADDRESS(26,6))&amp;":"&amp;INDIRECT(ADDRESS(26,7))</f>
        <v>10:11</v>
      </c>
      <c r="G8" s="7" t="str">
        <f ca="1">INDIRECT(ADDRESS(31,7))&amp;":"&amp;INDIRECT(ADDRESS(31,6))</f>
        <v>13:6</v>
      </c>
      <c r="H8" s="8" t="s">
        <v>7</v>
      </c>
      <c r="I8" s="7" t="str">
        <f ca="1">INDIRECT(ADDRESS(19,6))&amp;":"&amp;INDIRECT(ADDRESS(19,7))</f>
        <v>13:4</v>
      </c>
      <c r="J8" s="11" t="str">
        <f ca="1">INDIRECT(ADDRESS(22,7))&amp;":"&amp;INDIRECT(ADDRESS(22,6))</f>
        <v>13:5</v>
      </c>
      <c r="K8" s="79">
        <f ca="1">IF(COUNT(F9:J9)=0,"",COUNTIF(F9:J9,"&gt;0")+0.5*COUNTIF(F9:J9,0))</f>
        <v>3</v>
      </c>
      <c r="L8" s="17"/>
      <c r="M8" s="77"/>
    </row>
    <row r="9" spans="2:13" ht="24" customHeight="1">
      <c r="B9" s="54"/>
      <c r="C9" s="55"/>
      <c r="D9" s="56"/>
      <c r="E9" s="57"/>
      <c r="F9" s="23">
        <f ca="1">IF(LEN(INDIRECT(ADDRESS(ROW()-1, COLUMN())))=1,"",INDIRECT(ADDRESS(26,6))-INDIRECT(ADDRESS(26,7)))</f>
        <v>-1</v>
      </c>
      <c r="G9" s="17">
        <f ca="1">IF(LEN(INDIRECT(ADDRESS(ROW()-1, COLUMN())))=1,"",INDIRECT(ADDRESS(31,7))-INDIRECT(ADDRESS(31,6)))</f>
        <v>7</v>
      </c>
      <c r="H9" s="15" t="s">
        <v>7</v>
      </c>
      <c r="I9" s="17">
        <f ca="1">IF(LEN(INDIRECT(ADDRESS(ROW()-1, COLUMN())))=1,"",INDIRECT(ADDRESS(19,6))-INDIRECT(ADDRESS(19,7)))</f>
        <v>9</v>
      </c>
      <c r="J9" s="18">
        <f ca="1">IF(LEN(INDIRECT(ADDRESS(ROW()-1, COLUMN())))=1,"",INDIRECT(ADDRESS(22,7))-INDIRECT(ADDRESS(22,6)))</f>
        <v>8</v>
      </c>
      <c r="K9" s="79"/>
      <c r="L9" s="17">
        <f ca="1">IF(COUNT(F9:J9)=0,"",SUM(F9:J9))</f>
        <v>23</v>
      </c>
      <c r="M9" s="77"/>
    </row>
    <row r="10" spans="2:13" ht="24" customHeight="1">
      <c r="B10" s="53">
        <v>4</v>
      </c>
      <c r="C10" s="55" t="s">
        <v>31</v>
      </c>
      <c r="D10" s="56"/>
      <c r="E10" s="57"/>
      <c r="F10" s="12" t="str">
        <f ca="1">INDIRECT(ADDRESS(30,7))&amp;":"&amp;INDIRECT(ADDRESS(30,6))</f>
        <v>13:11</v>
      </c>
      <c r="G10" s="7" t="str">
        <f ca="1">INDIRECT(ADDRESS(34,6))&amp;":"&amp;INDIRECT(ADDRESS(34,7))</f>
        <v>8:13</v>
      </c>
      <c r="H10" s="7" t="str">
        <f ca="1">INDIRECT(ADDRESS(19,7))&amp;":"&amp;INDIRECT(ADDRESS(19,6))</f>
        <v>4:13</v>
      </c>
      <c r="I10" s="8" t="s">
        <v>7</v>
      </c>
      <c r="J10" s="11" t="str">
        <f ca="1">INDIRECT(ADDRESS(27,6))&amp;":"&amp;INDIRECT(ADDRESS(27,7))</f>
        <v>13:6</v>
      </c>
      <c r="K10" s="79">
        <f ca="1">IF(COUNT(F11:J11)=0,"",COUNTIF(F11:J11,"&gt;0")+0.5*COUNTIF(F11:J11,0))</f>
        <v>2</v>
      </c>
      <c r="L10" s="17"/>
      <c r="M10" s="77"/>
    </row>
    <row r="11" spans="2:13" ht="24" customHeight="1">
      <c r="B11" s="54"/>
      <c r="C11" s="55"/>
      <c r="D11" s="56"/>
      <c r="E11" s="57"/>
      <c r="F11" s="23">
        <f ca="1">IF(LEN(INDIRECT(ADDRESS(ROW()-1, COLUMN())))=1,"",INDIRECT(ADDRESS(30,7))-INDIRECT(ADDRESS(30,6)))</f>
        <v>2</v>
      </c>
      <c r="G11" s="17">
        <f ca="1">IF(LEN(INDIRECT(ADDRESS(ROW()-1, COLUMN())))=1,"",INDIRECT(ADDRESS(34,6))-INDIRECT(ADDRESS(34,7)))</f>
        <v>-5</v>
      </c>
      <c r="H11" s="17">
        <f ca="1">IF(LEN(INDIRECT(ADDRESS(ROW()-1, COLUMN())))=1,"",INDIRECT(ADDRESS(19,7))-INDIRECT(ADDRESS(19,6)))</f>
        <v>-9</v>
      </c>
      <c r="I11" s="15" t="s">
        <v>7</v>
      </c>
      <c r="J11" s="18">
        <f ca="1">IF(LEN(INDIRECT(ADDRESS(ROW()-1, COLUMN())))=1,"",INDIRECT(ADDRESS(27,6))-INDIRECT(ADDRESS(27,7)))</f>
        <v>7</v>
      </c>
      <c r="K11" s="79"/>
      <c r="L11" s="17">
        <f ca="1">IF(COUNT(F11:J11)=0,"",SUM(F11:J11))</f>
        <v>-5</v>
      </c>
      <c r="M11" s="77"/>
    </row>
    <row r="12" spans="2:13" ht="24" customHeight="1">
      <c r="B12" s="53">
        <v>5</v>
      </c>
      <c r="C12" s="55" t="s">
        <v>32</v>
      </c>
      <c r="D12" s="56"/>
      <c r="E12" s="57"/>
      <c r="F12" s="12" t="str">
        <f ca="1">INDIRECT(ADDRESS(35,6))&amp;":"&amp;INDIRECT(ADDRESS(35,7))</f>
        <v>0:13</v>
      </c>
      <c r="G12" s="7" t="str">
        <f ca="1">INDIRECT(ADDRESS(18,7))&amp;":"&amp;INDIRECT(ADDRESS(18,6))</f>
        <v>3:13</v>
      </c>
      <c r="H12" s="7" t="str">
        <f ca="1">INDIRECT(ADDRESS(22,6))&amp;":"&amp;INDIRECT(ADDRESS(22,7))</f>
        <v>5:13</v>
      </c>
      <c r="I12" s="7" t="str">
        <f ca="1">INDIRECT(ADDRESS(27,7))&amp;":"&amp;INDIRECT(ADDRESS(27,6))</f>
        <v>6:13</v>
      </c>
      <c r="J12" s="13" t="s">
        <v>7</v>
      </c>
      <c r="K12" s="79">
        <f ca="1">IF(COUNT(F13:J13)=0,"",COUNTIF(F13:J13,"&gt;0")+0.5*COUNTIF(F13:J13,0))</f>
        <v>0</v>
      </c>
      <c r="L12" s="17"/>
      <c r="M12" s="77"/>
    </row>
    <row r="13" spans="2:13" ht="24" customHeight="1" thickBot="1">
      <c r="B13" s="60"/>
      <c r="C13" s="61"/>
      <c r="D13" s="62"/>
      <c r="E13" s="63"/>
      <c r="F13" s="20">
        <f ca="1">IF(LEN(INDIRECT(ADDRESS(ROW()-1, COLUMN())))=1,"",INDIRECT(ADDRESS(35,6))-INDIRECT(ADDRESS(35,7)))</f>
        <v>-13</v>
      </c>
      <c r="G13" s="19">
        <f ca="1">IF(LEN(INDIRECT(ADDRESS(ROW()-1, COLUMN())))=1,"",INDIRECT(ADDRESS(18,7))-INDIRECT(ADDRESS(18,6)))</f>
        <v>-10</v>
      </c>
      <c r="H13" s="19">
        <f ca="1">IF(LEN(INDIRECT(ADDRESS(ROW()-1, COLUMN())))=1,"",INDIRECT(ADDRESS(22,6))-INDIRECT(ADDRESS(22,7)))</f>
        <v>-8</v>
      </c>
      <c r="I13" s="19">
        <f ca="1">IF(LEN(INDIRECT(ADDRESS(ROW()-1, COLUMN())))=1,"",INDIRECT(ADDRESS(27,7))-INDIRECT(ADDRESS(27,6)))</f>
        <v>-7</v>
      </c>
      <c r="J13" s="16" t="s">
        <v>7</v>
      </c>
      <c r="K13" s="80"/>
      <c r="L13" s="19">
        <f ca="1">IF(COUNT(F13:J13)=0,"",SUM(F13:J13))</f>
        <v>-38</v>
      </c>
      <c r="M13" s="78"/>
    </row>
    <row r="14" spans="2:13">
      <c r="M14"/>
    </row>
    <row r="15" spans="2:13">
      <c r="M15"/>
    </row>
    <row r="16" spans="2:13">
      <c r="M16"/>
    </row>
    <row r="17" spans="1:13" s="41" customFormat="1" ht="30" customHeight="1" thickBot="1">
      <c r="A17" s="40"/>
      <c r="B17" s="52" t="s">
        <v>4</v>
      </c>
      <c r="C17" s="52"/>
      <c r="D17" s="52"/>
      <c r="E17" s="52"/>
      <c r="F17" s="52"/>
      <c r="G17" s="52"/>
      <c r="H17" s="52"/>
      <c r="I17" s="52"/>
      <c r="J17" s="52"/>
      <c r="K17" s="52"/>
      <c r="M17" s="48"/>
    </row>
    <row r="18" spans="1:13" s="41" customFormat="1" ht="30" customHeight="1" thickBot="1">
      <c r="A18" s="40"/>
      <c r="B18" s="46">
        <v>2</v>
      </c>
      <c r="C18" s="49" t="str">
        <f ca="1">IF(ISBLANK(INDIRECT(ADDRESS(B18*2+2,3))),"",INDIRECT(ADDRESS(B18*2+2,3)))</f>
        <v>Коржов Владимир</v>
      </c>
      <c r="D18" s="49"/>
      <c r="E18" s="50"/>
      <c r="F18" s="42">
        <v>13</v>
      </c>
      <c r="G18" s="43">
        <v>3</v>
      </c>
      <c r="H18" s="51" t="str">
        <f ca="1">IF(ISBLANK(INDIRECT(ADDRESS(K18*2+2,3))),"",INDIRECT(ADDRESS(K18*2+2,3)))</f>
        <v>Будяк Максим</v>
      </c>
      <c r="I18" s="49"/>
      <c r="J18" s="49"/>
      <c r="K18" s="46">
        <v>5</v>
      </c>
      <c r="L18" s="44" t="s">
        <v>11</v>
      </c>
      <c r="M18" s="39"/>
    </row>
    <row r="19" spans="1:13" s="41" customFormat="1" ht="30" customHeight="1" thickBot="1">
      <c r="A19" s="40"/>
      <c r="B19" s="46">
        <v>3</v>
      </c>
      <c r="C19" s="49" t="str">
        <f ca="1">IF(ISBLANK(INDIRECT(ADDRESS(B19*2+2,3))),"",INDIRECT(ADDRESS(B19*2+2,3)))</f>
        <v>Пиманов Николай</v>
      </c>
      <c r="D19" s="49"/>
      <c r="E19" s="50"/>
      <c r="F19" s="42">
        <v>13</v>
      </c>
      <c r="G19" s="43">
        <v>4</v>
      </c>
      <c r="H19" s="51" t="str">
        <f ca="1">IF(ISBLANK(INDIRECT(ADDRESS(K19*2+2,3))),"",INDIRECT(ADDRESS(K19*2+2,3)))</f>
        <v>Луданов Алексей</v>
      </c>
      <c r="I19" s="49"/>
      <c r="J19" s="49"/>
      <c r="K19" s="46">
        <v>4</v>
      </c>
      <c r="L19" s="44" t="s">
        <v>11</v>
      </c>
      <c r="M19" s="39"/>
    </row>
    <row r="20" spans="1:13" s="41" customFormat="1" ht="30" customHeight="1">
      <c r="A20" s="40"/>
      <c r="M20" s="47"/>
    </row>
    <row r="21" spans="1:13" s="41" customFormat="1" ht="30" customHeight="1" thickBot="1">
      <c r="A21" s="40"/>
      <c r="B21" s="52" t="s">
        <v>5</v>
      </c>
      <c r="C21" s="52"/>
      <c r="D21" s="52"/>
      <c r="E21" s="52"/>
      <c r="F21" s="52"/>
      <c r="G21" s="52"/>
      <c r="H21" s="52"/>
      <c r="I21" s="52"/>
      <c r="J21" s="52"/>
      <c r="K21" s="52"/>
      <c r="M21" s="47"/>
    </row>
    <row r="22" spans="1:13" s="41" customFormat="1" ht="30" customHeight="1" thickBot="1">
      <c r="A22" s="40"/>
      <c r="B22" s="46">
        <v>5</v>
      </c>
      <c r="C22" s="49" t="str">
        <f ca="1">IF(ISBLANK(INDIRECT(ADDRESS(B22*2+2,3))),"",INDIRECT(ADDRESS(B22*2+2,3)))</f>
        <v>Будяк Максим</v>
      </c>
      <c r="D22" s="49"/>
      <c r="E22" s="50"/>
      <c r="F22" s="42">
        <v>5</v>
      </c>
      <c r="G22" s="43">
        <v>13</v>
      </c>
      <c r="H22" s="51" t="str">
        <f ca="1">IF(ISBLANK(INDIRECT(ADDRESS(K22*2+2,3))),"",INDIRECT(ADDRESS(K22*2+2,3)))</f>
        <v>Пиманов Николай</v>
      </c>
      <c r="I22" s="49"/>
      <c r="J22" s="49"/>
      <c r="K22" s="46">
        <v>3</v>
      </c>
      <c r="L22" s="44" t="s">
        <v>11</v>
      </c>
      <c r="M22" s="39"/>
    </row>
    <row r="23" spans="1:13" s="41" customFormat="1" ht="30" customHeight="1" thickBot="1">
      <c r="A23" s="40"/>
      <c r="B23" s="46">
        <v>1</v>
      </c>
      <c r="C23" s="49" t="str">
        <f ca="1">IF(ISBLANK(INDIRECT(ADDRESS(B23*2+2,3))),"",INDIRECT(ADDRESS(B23*2+2,3)))</f>
        <v>Капран-Индаяти Сергей</v>
      </c>
      <c r="D23" s="49"/>
      <c r="E23" s="50"/>
      <c r="F23" s="42">
        <v>10</v>
      </c>
      <c r="G23" s="43">
        <v>11</v>
      </c>
      <c r="H23" s="51" t="str">
        <f ca="1">IF(ISBLANK(INDIRECT(ADDRESS(K23*2+2,3))),"",INDIRECT(ADDRESS(K23*2+2,3)))</f>
        <v>Коржов Владимир</v>
      </c>
      <c r="I23" s="49"/>
      <c r="J23" s="49"/>
      <c r="K23" s="46">
        <v>2</v>
      </c>
      <c r="L23" s="44" t="s">
        <v>11</v>
      </c>
      <c r="M23" s="39"/>
    </row>
    <row r="24" spans="1:13" s="41" customFormat="1" ht="30" customHeight="1">
      <c r="A24" s="40"/>
      <c r="M24" s="47"/>
    </row>
    <row r="25" spans="1:13" s="41" customFormat="1" ht="30" customHeight="1" thickBot="1">
      <c r="A25" s="40"/>
      <c r="B25" s="52" t="s">
        <v>6</v>
      </c>
      <c r="C25" s="52"/>
      <c r="D25" s="52"/>
      <c r="E25" s="52"/>
      <c r="F25" s="52"/>
      <c r="G25" s="52"/>
      <c r="H25" s="52"/>
      <c r="I25" s="52"/>
      <c r="J25" s="52"/>
      <c r="K25" s="52"/>
      <c r="M25" s="47"/>
    </row>
    <row r="26" spans="1:13" s="41" customFormat="1" ht="30" customHeight="1" thickBot="1">
      <c r="A26" s="40"/>
      <c r="B26" s="46">
        <v>3</v>
      </c>
      <c r="C26" s="49" t="str">
        <f ca="1">IF(ISBLANK(INDIRECT(ADDRESS(B26*2+2,3))),"",INDIRECT(ADDRESS(B26*2+2,3)))</f>
        <v>Пиманов Николай</v>
      </c>
      <c r="D26" s="49"/>
      <c r="E26" s="50"/>
      <c r="F26" s="42">
        <v>10</v>
      </c>
      <c r="G26" s="43">
        <v>11</v>
      </c>
      <c r="H26" s="51" t="str">
        <f ca="1">IF(ISBLANK(INDIRECT(ADDRESS(K26*2+2,3))),"",INDIRECT(ADDRESS(K26*2+2,3)))</f>
        <v>Капран-Индаяти Сергей</v>
      </c>
      <c r="I26" s="49"/>
      <c r="J26" s="49"/>
      <c r="K26" s="46">
        <v>1</v>
      </c>
      <c r="L26" s="44" t="s">
        <v>11</v>
      </c>
      <c r="M26" s="39"/>
    </row>
    <row r="27" spans="1:13" s="41" customFormat="1" ht="30" customHeight="1" thickBot="1">
      <c r="A27" s="40"/>
      <c r="B27" s="46">
        <v>4</v>
      </c>
      <c r="C27" s="49" t="str">
        <f ca="1">IF(ISBLANK(INDIRECT(ADDRESS(B27*2+2,3))),"",INDIRECT(ADDRESS(B27*2+2,3)))</f>
        <v>Луданов Алексей</v>
      </c>
      <c r="D27" s="49"/>
      <c r="E27" s="50"/>
      <c r="F27" s="42">
        <v>13</v>
      </c>
      <c r="G27" s="43">
        <v>6</v>
      </c>
      <c r="H27" s="51" t="str">
        <f ca="1">IF(ISBLANK(INDIRECT(ADDRESS(K27*2+2,3))),"",INDIRECT(ADDRESS(K27*2+2,3)))</f>
        <v>Будяк Максим</v>
      </c>
      <c r="I27" s="49"/>
      <c r="J27" s="49"/>
      <c r="K27" s="46">
        <v>5</v>
      </c>
      <c r="L27" s="44" t="s">
        <v>11</v>
      </c>
      <c r="M27" s="39"/>
    </row>
    <row r="28" spans="1:13" s="41" customFormat="1" ht="30" customHeight="1">
      <c r="A28" s="40"/>
      <c r="M28" s="47"/>
    </row>
    <row r="29" spans="1:13" s="41" customFormat="1" ht="30" customHeight="1" thickBot="1">
      <c r="A29" s="40"/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M29" s="47"/>
    </row>
    <row r="30" spans="1:13" s="41" customFormat="1" ht="30" customHeight="1" thickBot="1">
      <c r="A30" s="40"/>
      <c r="B30" s="46">
        <v>1</v>
      </c>
      <c r="C30" s="49" t="str">
        <f ca="1">IF(ISBLANK(INDIRECT(ADDRESS(B30*2+2,3))),"",INDIRECT(ADDRESS(B30*2+2,3)))</f>
        <v>Капран-Индаяти Сергей</v>
      </c>
      <c r="D30" s="49"/>
      <c r="E30" s="50"/>
      <c r="F30" s="42">
        <v>11</v>
      </c>
      <c r="G30" s="43">
        <v>13</v>
      </c>
      <c r="H30" s="51" t="str">
        <f ca="1">IF(ISBLANK(INDIRECT(ADDRESS(K30*2+2,3))),"",INDIRECT(ADDRESS(K30*2+2,3)))</f>
        <v>Луданов Алексей</v>
      </c>
      <c r="I30" s="49"/>
      <c r="J30" s="49"/>
      <c r="K30" s="46">
        <v>4</v>
      </c>
      <c r="L30" s="44" t="s">
        <v>11</v>
      </c>
      <c r="M30" s="39"/>
    </row>
    <row r="31" spans="1:13" s="41" customFormat="1" ht="30" customHeight="1" thickBot="1">
      <c r="A31" s="40"/>
      <c r="B31" s="46">
        <v>2</v>
      </c>
      <c r="C31" s="49" t="str">
        <f ca="1">IF(ISBLANK(INDIRECT(ADDRESS(B31*2+2,3))),"",INDIRECT(ADDRESS(B31*2+2,3)))</f>
        <v>Коржов Владимир</v>
      </c>
      <c r="D31" s="49"/>
      <c r="E31" s="50"/>
      <c r="F31" s="42">
        <v>6</v>
      </c>
      <c r="G31" s="43">
        <v>13</v>
      </c>
      <c r="H31" s="51" t="str">
        <f ca="1">IF(ISBLANK(INDIRECT(ADDRESS(K31*2+2,3))),"",INDIRECT(ADDRESS(K31*2+2,3)))</f>
        <v>Пиманов Николай</v>
      </c>
      <c r="I31" s="49"/>
      <c r="J31" s="49"/>
      <c r="K31" s="46">
        <v>3</v>
      </c>
      <c r="L31" s="44" t="s">
        <v>11</v>
      </c>
      <c r="M31" s="39"/>
    </row>
    <row r="32" spans="1:13" s="41" customFormat="1" ht="30" customHeight="1">
      <c r="A32" s="40"/>
      <c r="M32" s="47"/>
    </row>
    <row r="33" spans="1:13" s="41" customFormat="1" ht="30" customHeight="1" thickBot="1">
      <c r="A33" s="40"/>
      <c r="B33" s="52" t="s">
        <v>9</v>
      </c>
      <c r="C33" s="52"/>
      <c r="D33" s="52"/>
      <c r="E33" s="52"/>
      <c r="F33" s="52"/>
      <c r="G33" s="52"/>
      <c r="H33" s="52"/>
      <c r="I33" s="52"/>
      <c r="J33" s="52"/>
      <c r="K33" s="52"/>
      <c r="M33" s="47"/>
    </row>
    <row r="34" spans="1:13" s="41" customFormat="1" ht="30" customHeight="1" thickBot="1">
      <c r="A34" s="40"/>
      <c r="B34" s="46">
        <v>4</v>
      </c>
      <c r="C34" s="49" t="str">
        <f ca="1">IF(ISBLANK(INDIRECT(ADDRESS(B34*2+2,3))),"",INDIRECT(ADDRESS(B34*2+2,3)))</f>
        <v>Луданов Алексей</v>
      </c>
      <c r="D34" s="49"/>
      <c r="E34" s="50"/>
      <c r="F34" s="42">
        <v>8</v>
      </c>
      <c r="G34" s="43">
        <v>13</v>
      </c>
      <c r="H34" s="51" t="str">
        <f ca="1">IF(ISBLANK(INDIRECT(ADDRESS(K34*2+2,3))),"",INDIRECT(ADDRESS(K34*2+2,3)))</f>
        <v>Коржов Владимир</v>
      </c>
      <c r="I34" s="49"/>
      <c r="J34" s="49"/>
      <c r="K34" s="46">
        <v>2</v>
      </c>
      <c r="L34" s="44" t="s">
        <v>11</v>
      </c>
      <c r="M34" s="39"/>
    </row>
    <row r="35" spans="1:13" s="41" customFormat="1" ht="30" customHeight="1" thickBot="1">
      <c r="A35" s="40"/>
      <c r="B35" s="46">
        <v>5</v>
      </c>
      <c r="C35" s="49" t="str">
        <f ca="1">IF(ISBLANK(INDIRECT(ADDRESS(B35*2+2,3))),"",INDIRECT(ADDRESS(B35*2+2,3)))</f>
        <v>Будяк Максим</v>
      </c>
      <c r="D35" s="49"/>
      <c r="E35" s="50"/>
      <c r="F35" s="42">
        <v>0</v>
      </c>
      <c r="G35" s="43">
        <v>13</v>
      </c>
      <c r="H35" s="51" t="str">
        <f ca="1">IF(ISBLANK(INDIRECT(ADDRESS(K35*2+2,3))),"",INDIRECT(ADDRESS(K35*2+2,3)))</f>
        <v>Капран-Индаяти Сергей</v>
      </c>
      <c r="I35" s="49"/>
      <c r="J35" s="49"/>
      <c r="K35" s="46">
        <v>1</v>
      </c>
      <c r="L35" s="44" t="s">
        <v>11</v>
      </c>
      <c r="M35" s="39"/>
    </row>
  </sheetData>
  <sheetCalcPr fullCalcOnLoad="1"/>
  <mergeCells count="47">
    <mergeCell ref="H34:J34"/>
    <mergeCell ref="C27:E27"/>
    <mergeCell ref="H27:J27"/>
    <mergeCell ref="C35:E35"/>
    <mergeCell ref="H35:J35"/>
    <mergeCell ref="C30:E30"/>
    <mergeCell ref="H30:J30"/>
    <mergeCell ref="C31:E31"/>
    <mergeCell ref="H31:J31"/>
    <mergeCell ref="B33:K33"/>
    <mergeCell ref="C34:E34"/>
    <mergeCell ref="H22:J22"/>
    <mergeCell ref="C23:E23"/>
    <mergeCell ref="H23:J23"/>
    <mergeCell ref="B25:K25"/>
    <mergeCell ref="C26:E26"/>
    <mergeCell ref="H26:J26"/>
    <mergeCell ref="C12:E13"/>
    <mergeCell ref="K12:K13"/>
    <mergeCell ref="C18:E18"/>
    <mergeCell ref="M12:M13"/>
    <mergeCell ref="B17:K17"/>
    <mergeCell ref="B29:K29"/>
    <mergeCell ref="C19:E19"/>
    <mergeCell ref="H19:J19"/>
    <mergeCell ref="B21:K21"/>
    <mergeCell ref="C22:E22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</mergeCells>
  <phoneticPr fontId="12" type="noConversion"/>
  <printOptions horizontalCentered="1"/>
  <pageMargins left="0.25" right="0.25" top="0.75" bottom="0.75" header="0.3" footer="0.3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B1" sqref="B1:K1"/>
    </sheetView>
  </sheetViews>
  <sheetFormatPr defaultRowHeight="15"/>
  <cols>
    <col min="1" max="1" width="4" style="28" customWidth="1"/>
    <col min="2" max="12" width="10.28515625" customWidth="1"/>
    <col min="13" max="13" width="10.28515625" style="37" customWidth="1"/>
    <col min="14" max="15" width="10.28515625" customWidth="1"/>
  </cols>
  <sheetData>
    <row r="1" spans="2:13" ht="36" customHeight="1">
      <c r="B1" s="83" t="s">
        <v>22</v>
      </c>
      <c r="C1" s="83"/>
      <c r="D1" s="83"/>
      <c r="E1" s="83"/>
      <c r="F1" s="83"/>
      <c r="G1" s="83"/>
      <c r="H1" s="83"/>
      <c r="I1" s="83"/>
      <c r="J1" s="83"/>
      <c r="K1" s="83"/>
      <c r="M1"/>
    </row>
    <row r="2" spans="2:13" ht="15.75" thickBot="1">
      <c r="M2"/>
    </row>
    <row r="3" spans="2:13" ht="30" customHeight="1" thickBot="1">
      <c r="B3" s="25"/>
      <c r="C3" s="67" t="s">
        <v>0</v>
      </c>
      <c r="D3" s="68"/>
      <c r="E3" s="69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>
      <c r="B4" s="70">
        <v>1</v>
      </c>
      <c r="C4" s="71" t="s">
        <v>33</v>
      </c>
      <c r="D4" s="72"/>
      <c r="E4" s="73"/>
      <c r="F4" s="10" t="s">
        <v>7</v>
      </c>
      <c r="G4" s="6" t="str">
        <f ca="1">INDIRECT(ADDRESS(23,6))&amp;":"&amp;INDIRECT(ADDRESS(23,7))</f>
        <v>5:9</v>
      </c>
      <c r="H4" s="6" t="str">
        <f ca="1">INDIRECT(ADDRESS(26,7))&amp;":"&amp;INDIRECT(ADDRESS(26,6))</f>
        <v>11:9</v>
      </c>
      <c r="I4" s="6" t="str">
        <f ca="1">INDIRECT(ADDRESS(30,6))&amp;":"&amp;INDIRECT(ADDRESS(30,7))</f>
        <v>5:13</v>
      </c>
      <c r="J4" s="21" t="str">
        <f ca="1">INDIRECT(ADDRESS(35,7))&amp;":"&amp;INDIRECT(ADDRESS(35,6))</f>
        <v>13:1</v>
      </c>
      <c r="K4" s="81">
        <f ca="1">IF(COUNT(F5:J5)=0,"",COUNTIF(F5:J5,"&gt;0")+0.5*COUNTIF(F5:J5,0))</f>
        <v>2</v>
      </c>
      <c r="L4" s="24"/>
      <c r="M4" s="82"/>
    </row>
    <row r="5" spans="2:13" ht="24" customHeight="1">
      <c r="B5" s="54"/>
      <c r="C5" s="55"/>
      <c r="D5" s="56"/>
      <c r="E5" s="57"/>
      <c r="F5" s="14" t="s">
        <v>7</v>
      </c>
      <c r="G5" s="17">
        <f ca="1">IF(LEN(INDIRECT(ADDRESS(ROW()-1, COLUMN())))=1,"",INDIRECT(ADDRESS(23,6))-INDIRECT(ADDRESS(23,7)))</f>
        <v>-4</v>
      </c>
      <c r="H5" s="17">
        <f ca="1">IF(LEN(INDIRECT(ADDRESS(ROW()-1, COLUMN())))=1,"",INDIRECT(ADDRESS(26,7))-INDIRECT(ADDRESS(26,6)))</f>
        <v>2</v>
      </c>
      <c r="I5" s="17">
        <f ca="1">IF(LEN(INDIRECT(ADDRESS(ROW()-1, COLUMN())))=1,"",INDIRECT(ADDRESS(30,6))-INDIRECT(ADDRESS(30,7)))</f>
        <v>-8</v>
      </c>
      <c r="J5" s="18">
        <f ca="1">IF(LEN(INDIRECT(ADDRESS(ROW()-1, COLUMN())))=1,"",INDIRECT(ADDRESS(35,7))-INDIRECT(ADDRESS(35,6)))</f>
        <v>12</v>
      </c>
      <c r="K5" s="79"/>
      <c r="L5" s="17">
        <f ca="1">IF(COUNT(F5:J5)=0,"",SUM(F5:J5))</f>
        <v>2</v>
      </c>
      <c r="M5" s="77"/>
    </row>
    <row r="6" spans="2:13" ht="24" customHeight="1">
      <c r="B6" s="53">
        <v>2</v>
      </c>
      <c r="C6" s="55" t="s">
        <v>34</v>
      </c>
      <c r="D6" s="56"/>
      <c r="E6" s="57"/>
      <c r="F6" s="12" t="str">
        <f ca="1">INDIRECT(ADDRESS(23,7))&amp;":"&amp;INDIRECT(ADDRESS(23,6))</f>
        <v>9:5</v>
      </c>
      <c r="G6" s="8" t="s">
        <v>7</v>
      </c>
      <c r="H6" s="7" t="str">
        <f ca="1">INDIRECT(ADDRESS(31,6))&amp;":"&amp;INDIRECT(ADDRESS(31,7))</f>
        <v>13:12</v>
      </c>
      <c r="I6" s="7" t="str">
        <f ca="1">INDIRECT(ADDRESS(34,7))&amp;":"&amp;INDIRECT(ADDRESS(34,6))</f>
        <v>13:6</v>
      </c>
      <c r="J6" s="11" t="str">
        <f ca="1">INDIRECT(ADDRESS(18,6))&amp;":"&amp;INDIRECT(ADDRESS(18,7))</f>
        <v>13:12</v>
      </c>
      <c r="K6" s="79">
        <f ca="1">IF(COUNT(F7:J7)=0,"",COUNTIF(F7:J7,"&gt;0")+0.5*COUNTIF(F7:J7,0))</f>
        <v>4</v>
      </c>
      <c r="L6" s="17"/>
      <c r="M6" s="77"/>
    </row>
    <row r="7" spans="2:13" ht="24" customHeight="1">
      <c r="B7" s="54"/>
      <c r="C7" s="55"/>
      <c r="D7" s="56"/>
      <c r="E7" s="57"/>
      <c r="F7" s="23">
        <f ca="1">IF(LEN(INDIRECT(ADDRESS(ROW()-1, COLUMN())))=1,"",INDIRECT(ADDRESS(23,7))-INDIRECT(ADDRESS(23,6)))</f>
        <v>4</v>
      </c>
      <c r="G7" s="15" t="s">
        <v>7</v>
      </c>
      <c r="H7" s="17">
        <f ca="1">IF(LEN(INDIRECT(ADDRESS(ROW()-1, COLUMN())))=1,"",INDIRECT(ADDRESS(31,6))-INDIRECT(ADDRESS(31,7)))</f>
        <v>1</v>
      </c>
      <c r="I7" s="17">
        <f ca="1">IF(LEN(INDIRECT(ADDRESS(ROW()-1, COLUMN())))=1,"",INDIRECT(ADDRESS(34,7))-INDIRECT(ADDRESS(34,6)))</f>
        <v>7</v>
      </c>
      <c r="J7" s="18">
        <f ca="1">IF(LEN(INDIRECT(ADDRESS(ROW()-1, COLUMN())))=1,"",INDIRECT(ADDRESS(18,6))-INDIRECT(ADDRESS(18,7)))</f>
        <v>1</v>
      </c>
      <c r="K7" s="79"/>
      <c r="L7" s="17">
        <f ca="1">IF(COUNT(F7:J7)=0,"",SUM(F7:J7))</f>
        <v>13</v>
      </c>
      <c r="M7" s="77"/>
    </row>
    <row r="8" spans="2:13" ht="24" customHeight="1">
      <c r="B8" s="53">
        <v>3</v>
      </c>
      <c r="C8" s="55" t="s">
        <v>35</v>
      </c>
      <c r="D8" s="56"/>
      <c r="E8" s="57"/>
      <c r="F8" s="12" t="str">
        <f ca="1">INDIRECT(ADDRESS(26,6))&amp;":"&amp;INDIRECT(ADDRESS(26,7))</f>
        <v>9:11</v>
      </c>
      <c r="G8" s="7" t="str">
        <f ca="1">INDIRECT(ADDRESS(31,7))&amp;":"&amp;INDIRECT(ADDRESS(31,6))</f>
        <v>12:13</v>
      </c>
      <c r="H8" s="8" t="s">
        <v>7</v>
      </c>
      <c r="I8" s="7" t="str">
        <f ca="1">INDIRECT(ADDRESS(19,6))&amp;":"&amp;INDIRECT(ADDRESS(19,7))</f>
        <v>7:13</v>
      </c>
      <c r="J8" s="11" t="str">
        <f ca="1">INDIRECT(ADDRESS(22,7))&amp;":"&amp;INDIRECT(ADDRESS(22,6))</f>
        <v>13:7</v>
      </c>
      <c r="K8" s="79">
        <f ca="1">IF(COUNT(F9:J9)=0,"",COUNTIF(F9:J9,"&gt;0")+0.5*COUNTIF(F9:J9,0))</f>
        <v>1</v>
      </c>
      <c r="L8" s="17"/>
      <c r="M8" s="77"/>
    </row>
    <row r="9" spans="2:13" ht="24" customHeight="1">
      <c r="B9" s="54"/>
      <c r="C9" s="55"/>
      <c r="D9" s="56"/>
      <c r="E9" s="57"/>
      <c r="F9" s="23">
        <f ca="1">IF(LEN(INDIRECT(ADDRESS(ROW()-1, COLUMN())))=1,"",INDIRECT(ADDRESS(26,6))-INDIRECT(ADDRESS(26,7)))</f>
        <v>-2</v>
      </c>
      <c r="G9" s="17">
        <f ca="1">IF(LEN(INDIRECT(ADDRESS(ROW()-1, COLUMN())))=1,"",INDIRECT(ADDRESS(31,7))-INDIRECT(ADDRESS(31,6)))</f>
        <v>-1</v>
      </c>
      <c r="H9" s="15" t="s">
        <v>7</v>
      </c>
      <c r="I9" s="17">
        <f ca="1">IF(LEN(INDIRECT(ADDRESS(ROW()-1, COLUMN())))=1,"",INDIRECT(ADDRESS(19,6))-INDIRECT(ADDRESS(19,7)))</f>
        <v>-6</v>
      </c>
      <c r="J9" s="18">
        <f ca="1">IF(LEN(INDIRECT(ADDRESS(ROW()-1, COLUMN())))=1,"",INDIRECT(ADDRESS(22,7))-INDIRECT(ADDRESS(22,6)))</f>
        <v>6</v>
      </c>
      <c r="K9" s="79"/>
      <c r="L9" s="17">
        <f ca="1">IF(COUNT(F9:J9)=0,"",SUM(F9:J9))</f>
        <v>-3</v>
      </c>
      <c r="M9" s="77"/>
    </row>
    <row r="10" spans="2:13" ht="24" customHeight="1">
      <c r="B10" s="53">
        <v>4</v>
      </c>
      <c r="C10" s="55" t="s">
        <v>36</v>
      </c>
      <c r="D10" s="56"/>
      <c r="E10" s="57"/>
      <c r="F10" s="12" t="str">
        <f ca="1">INDIRECT(ADDRESS(30,7))&amp;":"&amp;INDIRECT(ADDRESS(30,6))</f>
        <v>13:5</v>
      </c>
      <c r="G10" s="7" t="str">
        <f ca="1">INDIRECT(ADDRESS(34,6))&amp;":"&amp;INDIRECT(ADDRESS(34,7))</f>
        <v>6:13</v>
      </c>
      <c r="H10" s="7" t="str">
        <f ca="1">INDIRECT(ADDRESS(19,7))&amp;":"&amp;INDIRECT(ADDRESS(19,6))</f>
        <v>13:7</v>
      </c>
      <c r="I10" s="8" t="s">
        <v>7</v>
      </c>
      <c r="J10" s="11" t="str">
        <f ca="1">INDIRECT(ADDRESS(27,6))&amp;":"&amp;INDIRECT(ADDRESS(27,7))</f>
        <v>11:13</v>
      </c>
      <c r="K10" s="79">
        <f ca="1">IF(COUNT(F11:J11)=0,"",COUNTIF(F11:J11,"&gt;0")+0.5*COUNTIF(F11:J11,0))</f>
        <v>2</v>
      </c>
      <c r="L10" s="17"/>
      <c r="M10" s="77"/>
    </row>
    <row r="11" spans="2:13" ht="24" customHeight="1">
      <c r="B11" s="54"/>
      <c r="C11" s="55"/>
      <c r="D11" s="56"/>
      <c r="E11" s="57"/>
      <c r="F11" s="23">
        <f ca="1">IF(LEN(INDIRECT(ADDRESS(ROW()-1, COLUMN())))=1,"",INDIRECT(ADDRESS(30,7))-INDIRECT(ADDRESS(30,6)))</f>
        <v>8</v>
      </c>
      <c r="G11" s="17">
        <f ca="1">IF(LEN(INDIRECT(ADDRESS(ROW()-1, COLUMN())))=1,"",INDIRECT(ADDRESS(34,6))-INDIRECT(ADDRESS(34,7)))</f>
        <v>-7</v>
      </c>
      <c r="H11" s="17">
        <f ca="1">IF(LEN(INDIRECT(ADDRESS(ROW()-1, COLUMN())))=1,"",INDIRECT(ADDRESS(19,7))-INDIRECT(ADDRESS(19,6)))</f>
        <v>6</v>
      </c>
      <c r="I11" s="15" t="s">
        <v>7</v>
      </c>
      <c r="J11" s="18">
        <f ca="1">IF(LEN(INDIRECT(ADDRESS(ROW()-1, COLUMN())))=1,"",INDIRECT(ADDRESS(27,6))-INDIRECT(ADDRESS(27,7)))</f>
        <v>-2</v>
      </c>
      <c r="K11" s="79"/>
      <c r="L11" s="17">
        <f ca="1">IF(COUNT(F11:J11)=0,"",SUM(F11:J11))</f>
        <v>5</v>
      </c>
      <c r="M11" s="77"/>
    </row>
    <row r="12" spans="2:13" ht="24" customHeight="1">
      <c r="B12" s="53">
        <v>5</v>
      </c>
      <c r="C12" s="55" t="s">
        <v>37</v>
      </c>
      <c r="D12" s="56"/>
      <c r="E12" s="57"/>
      <c r="F12" s="12" t="str">
        <f ca="1">INDIRECT(ADDRESS(35,6))&amp;":"&amp;INDIRECT(ADDRESS(35,7))</f>
        <v>1:13</v>
      </c>
      <c r="G12" s="7" t="str">
        <f ca="1">INDIRECT(ADDRESS(18,7))&amp;":"&amp;INDIRECT(ADDRESS(18,6))</f>
        <v>12:13</v>
      </c>
      <c r="H12" s="7" t="str">
        <f ca="1">INDIRECT(ADDRESS(22,6))&amp;":"&amp;INDIRECT(ADDRESS(22,7))</f>
        <v>7:13</v>
      </c>
      <c r="I12" s="7" t="str">
        <f ca="1">INDIRECT(ADDRESS(27,7))&amp;":"&amp;INDIRECT(ADDRESS(27,6))</f>
        <v>13:11</v>
      </c>
      <c r="J12" s="13" t="s">
        <v>7</v>
      </c>
      <c r="K12" s="79">
        <f ca="1">IF(COUNT(F13:J13)=0,"",COUNTIF(F13:J13,"&gt;0")+0.5*COUNTIF(F13:J13,0))</f>
        <v>1</v>
      </c>
      <c r="L12" s="17"/>
      <c r="M12" s="77"/>
    </row>
    <row r="13" spans="2:13" ht="24" customHeight="1" thickBot="1">
      <c r="B13" s="60"/>
      <c r="C13" s="61"/>
      <c r="D13" s="62"/>
      <c r="E13" s="63"/>
      <c r="F13" s="20">
        <f ca="1">IF(LEN(INDIRECT(ADDRESS(ROW()-1, COLUMN())))=1,"",INDIRECT(ADDRESS(35,6))-INDIRECT(ADDRESS(35,7)))</f>
        <v>-12</v>
      </c>
      <c r="G13" s="19">
        <f ca="1">IF(LEN(INDIRECT(ADDRESS(ROW()-1, COLUMN())))=1,"",INDIRECT(ADDRESS(18,7))-INDIRECT(ADDRESS(18,6)))</f>
        <v>-1</v>
      </c>
      <c r="H13" s="19">
        <f ca="1">IF(LEN(INDIRECT(ADDRESS(ROW()-1, COLUMN())))=1,"",INDIRECT(ADDRESS(22,6))-INDIRECT(ADDRESS(22,7)))</f>
        <v>-6</v>
      </c>
      <c r="I13" s="19">
        <f ca="1">IF(LEN(INDIRECT(ADDRESS(ROW()-1, COLUMN())))=1,"",INDIRECT(ADDRESS(27,7))-INDIRECT(ADDRESS(27,6)))</f>
        <v>2</v>
      </c>
      <c r="J13" s="16" t="s">
        <v>7</v>
      </c>
      <c r="K13" s="80"/>
      <c r="L13" s="19">
        <f ca="1">IF(COUNT(F13:J13)=0,"",SUM(F13:J13))</f>
        <v>-17</v>
      </c>
      <c r="M13" s="78"/>
    </row>
    <row r="14" spans="2:13">
      <c r="M14"/>
    </row>
    <row r="15" spans="2:13">
      <c r="M15"/>
    </row>
    <row r="16" spans="2:13">
      <c r="M16"/>
    </row>
    <row r="17" spans="1:13" s="41" customFormat="1" ht="30" customHeight="1" thickBot="1">
      <c r="A17" s="40"/>
      <c r="B17" s="52" t="s">
        <v>4</v>
      </c>
      <c r="C17" s="52"/>
      <c r="D17" s="52"/>
      <c r="E17" s="52"/>
      <c r="F17" s="52"/>
      <c r="G17" s="52"/>
      <c r="H17" s="52"/>
      <c r="I17" s="52"/>
      <c r="J17" s="52"/>
      <c r="K17" s="52"/>
      <c r="M17" s="48"/>
    </row>
    <row r="18" spans="1:13" s="41" customFormat="1" ht="30" customHeight="1" thickBot="1">
      <c r="A18" s="40"/>
      <c r="B18" s="46">
        <v>2</v>
      </c>
      <c r="C18" s="49" t="str">
        <f ca="1">IF(ISBLANK(INDIRECT(ADDRESS(B18*2+2,3))),"",INDIRECT(ADDRESS(B18*2+2,3)))</f>
        <v>Овчинников Тимофей</v>
      </c>
      <c r="D18" s="49"/>
      <c r="E18" s="50"/>
      <c r="F18" s="42">
        <v>13</v>
      </c>
      <c r="G18" s="43">
        <v>12</v>
      </c>
      <c r="H18" s="51" t="str">
        <f ca="1">IF(ISBLANK(INDIRECT(ADDRESS(K18*2+2,3))),"",INDIRECT(ADDRESS(K18*2+2,3)))</f>
        <v>Шпилько Дмитрий</v>
      </c>
      <c r="I18" s="49"/>
      <c r="J18" s="49"/>
      <c r="K18" s="46">
        <v>5</v>
      </c>
      <c r="L18" s="44" t="s">
        <v>11</v>
      </c>
      <c r="M18" s="39"/>
    </row>
    <row r="19" spans="1:13" s="41" customFormat="1" ht="30" customHeight="1" thickBot="1">
      <c r="A19" s="40"/>
      <c r="B19" s="46">
        <v>3</v>
      </c>
      <c r="C19" s="49" t="str">
        <f ca="1">IF(ISBLANK(INDIRECT(ADDRESS(B19*2+2,3))),"",INDIRECT(ADDRESS(B19*2+2,3)))</f>
        <v>Дорошенко Анатолий</v>
      </c>
      <c r="D19" s="49"/>
      <c r="E19" s="50"/>
      <c r="F19" s="42">
        <v>7</v>
      </c>
      <c r="G19" s="43">
        <v>13</v>
      </c>
      <c r="H19" s="51" t="str">
        <f ca="1">IF(ISBLANK(INDIRECT(ADDRESS(K19*2+2,3))),"",INDIRECT(ADDRESS(K19*2+2,3)))</f>
        <v>Лукин Сергей</v>
      </c>
      <c r="I19" s="49"/>
      <c r="J19" s="49"/>
      <c r="K19" s="46">
        <v>4</v>
      </c>
      <c r="L19" s="44" t="s">
        <v>11</v>
      </c>
      <c r="M19" s="39"/>
    </row>
    <row r="20" spans="1:13" s="41" customFormat="1" ht="30" customHeight="1">
      <c r="A20" s="40"/>
      <c r="M20" s="47"/>
    </row>
    <row r="21" spans="1:13" s="41" customFormat="1" ht="30" customHeight="1" thickBot="1">
      <c r="A21" s="40"/>
      <c r="B21" s="52" t="s">
        <v>5</v>
      </c>
      <c r="C21" s="52"/>
      <c r="D21" s="52"/>
      <c r="E21" s="52"/>
      <c r="F21" s="52"/>
      <c r="G21" s="52"/>
      <c r="H21" s="52"/>
      <c r="I21" s="52"/>
      <c r="J21" s="52"/>
      <c r="K21" s="52"/>
      <c r="M21" s="47"/>
    </row>
    <row r="22" spans="1:13" s="41" customFormat="1" ht="30" customHeight="1" thickBot="1">
      <c r="A22" s="40"/>
      <c r="B22" s="46">
        <v>5</v>
      </c>
      <c r="C22" s="49" t="str">
        <f ca="1">IF(ISBLANK(INDIRECT(ADDRESS(B22*2+2,3))),"",INDIRECT(ADDRESS(B22*2+2,3)))</f>
        <v>Шпилько Дмитрий</v>
      </c>
      <c r="D22" s="49"/>
      <c r="E22" s="50"/>
      <c r="F22" s="42">
        <v>7</v>
      </c>
      <c r="G22" s="43">
        <v>13</v>
      </c>
      <c r="H22" s="51" t="str">
        <f ca="1">IF(ISBLANK(INDIRECT(ADDRESS(K22*2+2,3))),"",INDIRECT(ADDRESS(K22*2+2,3)))</f>
        <v>Дорошенко Анатолий</v>
      </c>
      <c r="I22" s="49"/>
      <c r="J22" s="49"/>
      <c r="K22" s="46">
        <v>3</v>
      </c>
      <c r="L22" s="44" t="s">
        <v>11</v>
      </c>
      <c r="M22" s="39"/>
    </row>
    <row r="23" spans="1:13" s="41" customFormat="1" ht="30" customHeight="1" thickBot="1">
      <c r="A23" s="40"/>
      <c r="B23" s="46">
        <v>1</v>
      </c>
      <c r="C23" s="49" t="str">
        <f ca="1">IF(ISBLANK(INDIRECT(ADDRESS(B23*2+2,3))),"",INDIRECT(ADDRESS(B23*2+2,3)))</f>
        <v>Майсов Антон</v>
      </c>
      <c r="D23" s="49"/>
      <c r="E23" s="50"/>
      <c r="F23" s="42">
        <v>5</v>
      </c>
      <c r="G23" s="43">
        <v>9</v>
      </c>
      <c r="H23" s="51" t="str">
        <f ca="1">IF(ISBLANK(INDIRECT(ADDRESS(K23*2+2,3))),"",INDIRECT(ADDRESS(K23*2+2,3)))</f>
        <v>Овчинников Тимофей</v>
      </c>
      <c r="I23" s="49"/>
      <c r="J23" s="49"/>
      <c r="K23" s="46">
        <v>2</v>
      </c>
      <c r="L23" s="44" t="s">
        <v>11</v>
      </c>
      <c r="M23" s="39"/>
    </row>
    <row r="24" spans="1:13" s="41" customFormat="1" ht="30" customHeight="1">
      <c r="A24" s="40"/>
      <c r="M24" s="47"/>
    </row>
    <row r="25" spans="1:13" s="41" customFormat="1" ht="30" customHeight="1" thickBot="1">
      <c r="A25" s="40"/>
      <c r="B25" s="52" t="s">
        <v>6</v>
      </c>
      <c r="C25" s="52"/>
      <c r="D25" s="52"/>
      <c r="E25" s="52"/>
      <c r="F25" s="52"/>
      <c r="G25" s="52"/>
      <c r="H25" s="52"/>
      <c r="I25" s="52"/>
      <c r="J25" s="52"/>
      <c r="K25" s="52"/>
      <c r="M25" s="47"/>
    </row>
    <row r="26" spans="1:13" s="41" customFormat="1" ht="30" customHeight="1" thickBot="1">
      <c r="A26" s="40"/>
      <c r="B26" s="46">
        <v>3</v>
      </c>
      <c r="C26" s="49" t="str">
        <f ca="1">IF(ISBLANK(INDIRECT(ADDRESS(B26*2+2,3))),"",INDIRECT(ADDRESS(B26*2+2,3)))</f>
        <v>Дорошенко Анатолий</v>
      </c>
      <c r="D26" s="49"/>
      <c r="E26" s="50"/>
      <c r="F26" s="42">
        <v>9</v>
      </c>
      <c r="G26" s="43">
        <v>11</v>
      </c>
      <c r="H26" s="51" t="str">
        <f ca="1">IF(ISBLANK(INDIRECT(ADDRESS(K26*2+2,3))),"",INDIRECT(ADDRESS(K26*2+2,3)))</f>
        <v>Майсов Антон</v>
      </c>
      <c r="I26" s="49"/>
      <c r="J26" s="49"/>
      <c r="K26" s="46">
        <v>1</v>
      </c>
      <c r="L26" s="44" t="s">
        <v>11</v>
      </c>
      <c r="M26" s="39"/>
    </row>
    <row r="27" spans="1:13" s="41" customFormat="1" ht="30" customHeight="1" thickBot="1">
      <c r="A27" s="40"/>
      <c r="B27" s="46">
        <v>4</v>
      </c>
      <c r="C27" s="49" t="str">
        <f ca="1">IF(ISBLANK(INDIRECT(ADDRESS(B27*2+2,3))),"",INDIRECT(ADDRESS(B27*2+2,3)))</f>
        <v>Лукин Сергей</v>
      </c>
      <c r="D27" s="49"/>
      <c r="E27" s="50"/>
      <c r="F27" s="42">
        <v>11</v>
      </c>
      <c r="G27" s="43">
        <v>13</v>
      </c>
      <c r="H27" s="51" t="str">
        <f ca="1">IF(ISBLANK(INDIRECT(ADDRESS(K27*2+2,3))),"",INDIRECT(ADDRESS(K27*2+2,3)))</f>
        <v>Шпилько Дмитрий</v>
      </c>
      <c r="I27" s="49"/>
      <c r="J27" s="49"/>
      <c r="K27" s="46">
        <v>5</v>
      </c>
      <c r="L27" s="44" t="s">
        <v>11</v>
      </c>
      <c r="M27" s="39"/>
    </row>
    <row r="28" spans="1:13" s="41" customFormat="1" ht="30" customHeight="1">
      <c r="A28" s="40"/>
      <c r="M28" s="47"/>
    </row>
    <row r="29" spans="1:13" s="41" customFormat="1" ht="30" customHeight="1" thickBot="1">
      <c r="A29" s="40"/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M29" s="47"/>
    </row>
    <row r="30" spans="1:13" s="41" customFormat="1" ht="30" customHeight="1" thickBot="1">
      <c r="A30" s="40"/>
      <c r="B30" s="46">
        <v>1</v>
      </c>
      <c r="C30" s="49" t="str">
        <f ca="1">IF(ISBLANK(INDIRECT(ADDRESS(B30*2+2,3))),"",INDIRECT(ADDRESS(B30*2+2,3)))</f>
        <v>Майсов Антон</v>
      </c>
      <c r="D30" s="49"/>
      <c r="E30" s="50"/>
      <c r="F30" s="42">
        <v>5</v>
      </c>
      <c r="G30" s="43">
        <v>13</v>
      </c>
      <c r="H30" s="51" t="str">
        <f ca="1">IF(ISBLANK(INDIRECT(ADDRESS(K30*2+2,3))),"",INDIRECT(ADDRESS(K30*2+2,3)))</f>
        <v>Лукин Сергей</v>
      </c>
      <c r="I30" s="49"/>
      <c r="J30" s="49"/>
      <c r="K30" s="46">
        <v>4</v>
      </c>
      <c r="L30" s="44" t="s">
        <v>11</v>
      </c>
      <c r="M30" s="39"/>
    </row>
    <row r="31" spans="1:13" s="41" customFormat="1" ht="30" customHeight="1" thickBot="1">
      <c r="A31" s="40"/>
      <c r="B31" s="46">
        <v>2</v>
      </c>
      <c r="C31" s="49" t="str">
        <f ca="1">IF(ISBLANK(INDIRECT(ADDRESS(B31*2+2,3))),"",INDIRECT(ADDRESS(B31*2+2,3)))</f>
        <v>Овчинников Тимофей</v>
      </c>
      <c r="D31" s="49"/>
      <c r="E31" s="50"/>
      <c r="F31" s="42">
        <v>13</v>
      </c>
      <c r="G31" s="43">
        <v>12</v>
      </c>
      <c r="H31" s="51" t="str">
        <f ca="1">IF(ISBLANK(INDIRECT(ADDRESS(K31*2+2,3))),"",INDIRECT(ADDRESS(K31*2+2,3)))</f>
        <v>Дорошенко Анатолий</v>
      </c>
      <c r="I31" s="49"/>
      <c r="J31" s="49"/>
      <c r="K31" s="46">
        <v>3</v>
      </c>
      <c r="L31" s="44" t="s">
        <v>11</v>
      </c>
      <c r="M31" s="39"/>
    </row>
    <row r="32" spans="1:13" s="41" customFormat="1" ht="30" customHeight="1">
      <c r="A32" s="40"/>
      <c r="M32" s="47"/>
    </row>
    <row r="33" spans="1:13" s="41" customFormat="1" ht="30" customHeight="1" thickBot="1">
      <c r="A33" s="40"/>
      <c r="B33" s="52" t="s">
        <v>9</v>
      </c>
      <c r="C33" s="52"/>
      <c r="D33" s="52"/>
      <c r="E33" s="52"/>
      <c r="F33" s="52"/>
      <c r="G33" s="52"/>
      <c r="H33" s="52"/>
      <c r="I33" s="52"/>
      <c r="J33" s="52"/>
      <c r="K33" s="52"/>
      <c r="M33" s="47"/>
    </row>
    <row r="34" spans="1:13" s="41" customFormat="1" ht="30" customHeight="1" thickBot="1">
      <c r="A34" s="40"/>
      <c r="B34" s="46">
        <v>4</v>
      </c>
      <c r="C34" s="49" t="str">
        <f ca="1">IF(ISBLANK(INDIRECT(ADDRESS(B34*2+2,3))),"",INDIRECT(ADDRESS(B34*2+2,3)))</f>
        <v>Лукин Сергей</v>
      </c>
      <c r="D34" s="49"/>
      <c r="E34" s="50"/>
      <c r="F34" s="42">
        <v>6</v>
      </c>
      <c r="G34" s="43">
        <v>13</v>
      </c>
      <c r="H34" s="51" t="str">
        <f ca="1">IF(ISBLANK(INDIRECT(ADDRESS(K34*2+2,3))),"",INDIRECT(ADDRESS(K34*2+2,3)))</f>
        <v>Овчинников Тимофей</v>
      </c>
      <c r="I34" s="49"/>
      <c r="J34" s="49"/>
      <c r="K34" s="46">
        <v>2</v>
      </c>
      <c r="L34" s="44" t="s">
        <v>11</v>
      </c>
      <c r="M34" s="39"/>
    </row>
    <row r="35" spans="1:13" s="41" customFormat="1" ht="30" customHeight="1" thickBot="1">
      <c r="A35" s="40"/>
      <c r="B35" s="46">
        <v>5</v>
      </c>
      <c r="C35" s="49" t="str">
        <f ca="1">IF(ISBLANK(INDIRECT(ADDRESS(B35*2+2,3))),"",INDIRECT(ADDRESS(B35*2+2,3)))</f>
        <v>Шпилько Дмитрий</v>
      </c>
      <c r="D35" s="49"/>
      <c r="E35" s="50"/>
      <c r="F35" s="42">
        <v>1</v>
      </c>
      <c r="G35" s="43">
        <v>13</v>
      </c>
      <c r="H35" s="51" t="str">
        <f ca="1">IF(ISBLANK(INDIRECT(ADDRESS(K35*2+2,3))),"",INDIRECT(ADDRESS(K35*2+2,3)))</f>
        <v>Майсов Антон</v>
      </c>
      <c r="I35" s="49"/>
      <c r="J35" s="49"/>
      <c r="K35" s="46">
        <v>1</v>
      </c>
      <c r="L35" s="44" t="s">
        <v>11</v>
      </c>
      <c r="M35" s="39"/>
    </row>
  </sheetData>
  <sheetCalcPr fullCalcOnLoad="1"/>
  <mergeCells count="47">
    <mergeCell ref="C3:E3"/>
    <mergeCell ref="B4:B5"/>
    <mergeCell ref="C4:E5"/>
    <mergeCell ref="K4:K5"/>
    <mergeCell ref="M4:M5"/>
    <mergeCell ref="B1:K1"/>
    <mergeCell ref="M8:M9"/>
    <mergeCell ref="B10:B11"/>
    <mergeCell ref="C10:E11"/>
    <mergeCell ref="K10:K11"/>
    <mergeCell ref="M10:M11"/>
    <mergeCell ref="M6:M7"/>
    <mergeCell ref="B6:B7"/>
    <mergeCell ref="C6:E7"/>
    <mergeCell ref="K6:K7"/>
    <mergeCell ref="B8:B9"/>
    <mergeCell ref="C8:E9"/>
    <mergeCell ref="K8:K9"/>
    <mergeCell ref="B12:B13"/>
    <mergeCell ref="C12:E13"/>
    <mergeCell ref="K12:K13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M12:M13"/>
    <mergeCell ref="B17:K17"/>
    <mergeCell ref="H18:J18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honeticPr fontId="12" type="noConversion"/>
  <printOptions horizontalCentered="1"/>
  <pageMargins left="0.25" right="0.25" top="0.75" bottom="0.75" header="0.3" footer="0.3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40"/>
  <sheetViews>
    <sheetView zoomScaleNormal="100" workbookViewId="0">
      <selection activeCell="J40" sqref="J40"/>
    </sheetView>
  </sheetViews>
  <sheetFormatPr defaultRowHeight="15" customHeight="1"/>
  <cols>
    <col min="1" max="1" width="9.140625" style="28"/>
    <col min="2" max="16384" width="9.140625" style="27"/>
  </cols>
  <sheetData>
    <row r="1" spans="2:13" ht="59.25" customHeight="1">
      <c r="B1" s="83" t="s">
        <v>38</v>
      </c>
      <c r="C1" s="83"/>
      <c r="D1" s="83"/>
      <c r="E1" s="83"/>
      <c r="F1" s="83"/>
      <c r="G1" s="83"/>
      <c r="H1" s="83"/>
      <c r="I1" s="83"/>
      <c r="J1" s="83"/>
      <c r="K1" s="83"/>
    </row>
    <row r="2" spans="2:13" ht="15" customHeight="1">
      <c r="C2" s="35"/>
    </row>
    <row r="3" spans="2:13" ht="15" customHeight="1">
      <c r="C3" s="35"/>
    </row>
    <row r="4" spans="2:13" ht="15" customHeight="1">
      <c r="B4" s="85" t="s">
        <v>39</v>
      </c>
      <c r="C4" s="86"/>
      <c r="D4" s="26">
        <v>13</v>
      </c>
      <c r="E4" s="29"/>
    </row>
    <row r="5" spans="2:13" ht="15" customHeight="1">
      <c r="C5" s="35"/>
      <c r="E5" s="30"/>
    </row>
    <row r="6" spans="2:13" ht="15" customHeight="1">
      <c r="B6" s="34" t="s">
        <v>11</v>
      </c>
      <c r="C6" s="35"/>
      <c r="E6" s="31"/>
      <c r="F6" s="84" t="str">
        <f>IF(ISBLANK(D4),"",IF(D4&gt;D8,B4,B8))</f>
        <v>Анухин</v>
      </c>
      <c r="G6" s="86"/>
      <c r="H6" s="26">
        <v>12</v>
      </c>
      <c r="I6" s="29"/>
    </row>
    <row r="7" spans="2:13" ht="15" customHeight="1">
      <c r="C7" s="35"/>
      <c r="E7" s="31"/>
      <c r="I7" s="30"/>
    </row>
    <row r="8" spans="2:13" ht="15" customHeight="1">
      <c r="B8" s="85" t="s">
        <v>40</v>
      </c>
      <c r="C8" s="86"/>
      <c r="D8" s="26">
        <v>4</v>
      </c>
      <c r="E8" s="32"/>
      <c r="I8" s="31"/>
    </row>
    <row r="9" spans="2:13" ht="15" customHeight="1">
      <c r="C9" s="35"/>
      <c r="I9" s="31"/>
    </row>
    <row r="10" spans="2:13" ht="15" customHeight="1">
      <c r="C10" s="35"/>
      <c r="G10" s="34" t="s">
        <v>11</v>
      </c>
      <c r="H10" s="35"/>
      <c r="I10" s="31"/>
      <c r="J10" s="84" t="str">
        <f>IF(ISBLANK(H6),"",IF(H6&gt;H14,F6,F14))</f>
        <v>Пиманов</v>
      </c>
      <c r="K10" s="85"/>
      <c r="L10" s="26">
        <v>13</v>
      </c>
      <c r="M10" s="29"/>
    </row>
    <row r="11" spans="2:13" ht="15" customHeight="1">
      <c r="C11" s="35"/>
      <c r="I11" s="31"/>
      <c r="M11" s="30"/>
    </row>
    <row r="12" spans="2:13" ht="15" customHeight="1">
      <c r="B12" s="85" t="s">
        <v>41</v>
      </c>
      <c r="C12" s="86"/>
      <c r="D12" s="26">
        <v>13</v>
      </c>
      <c r="E12" s="29"/>
      <c r="I12" s="31"/>
      <c r="M12" s="31"/>
    </row>
    <row r="13" spans="2:13" ht="15" customHeight="1">
      <c r="C13" s="35"/>
      <c r="E13" s="30"/>
      <c r="I13" s="31"/>
      <c r="M13" s="31"/>
    </row>
    <row r="14" spans="2:13" ht="15" customHeight="1">
      <c r="B14" s="34" t="s">
        <v>11</v>
      </c>
      <c r="C14" s="35"/>
      <c r="E14" s="31"/>
      <c r="F14" s="84" t="str">
        <f>IF(ISBLANK(D12),"",IF(D12&gt;D16,B12,B16))</f>
        <v>Пиманов</v>
      </c>
      <c r="G14" s="86"/>
      <c r="H14" s="26">
        <v>13</v>
      </c>
      <c r="I14" s="32"/>
      <c r="M14" s="31"/>
    </row>
    <row r="15" spans="2:13" ht="15" customHeight="1">
      <c r="E15" s="31"/>
      <c r="M15" s="31"/>
    </row>
    <row r="16" spans="2:13" ht="15" customHeight="1">
      <c r="B16" s="85" t="s">
        <v>42</v>
      </c>
      <c r="C16" s="86"/>
      <c r="D16" s="26">
        <v>3</v>
      </c>
      <c r="E16" s="32"/>
      <c r="M16" s="31"/>
    </row>
    <row r="17" spans="2:15" ht="15" customHeight="1">
      <c r="M17" s="31"/>
    </row>
    <row r="18" spans="2:15" ht="15" customHeight="1">
      <c r="B18" s="34"/>
      <c r="K18" s="34" t="s">
        <v>11</v>
      </c>
      <c r="L18" s="35"/>
      <c r="M18" s="31"/>
      <c r="N18" s="84" t="str">
        <f>IF(ISBLANK(L10),"",IF(L10&gt;L26,J10,J26))</f>
        <v>Пиманов</v>
      </c>
      <c r="O18" s="85"/>
    </row>
    <row r="19" spans="2:15" ht="15" customHeight="1">
      <c r="M19" s="31"/>
    </row>
    <row r="20" spans="2:15" ht="15" customHeight="1">
      <c r="B20" s="85" t="s">
        <v>43</v>
      </c>
      <c r="C20" s="86"/>
      <c r="D20" s="26">
        <v>10</v>
      </c>
      <c r="E20" s="29"/>
      <c r="M20" s="31"/>
    </row>
    <row r="21" spans="2:15" ht="15" customHeight="1">
      <c r="E21" s="30"/>
      <c r="M21" s="31"/>
    </row>
    <row r="22" spans="2:15" ht="15" customHeight="1">
      <c r="B22" s="34" t="s">
        <v>11</v>
      </c>
      <c r="C22" s="35"/>
      <c r="E22" s="31"/>
      <c r="F22" s="84" t="str">
        <f>IF(ISBLANK(D20),"",IF(D20&gt;D24,B20,B24))</f>
        <v>Коржов</v>
      </c>
      <c r="G22" s="86"/>
      <c r="H22" s="26">
        <v>7</v>
      </c>
      <c r="I22" s="29"/>
      <c r="M22" s="31"/>
    </row>
    <row r="23" spans="2:15" ht="15" customHeight="1">
      <c r="E23" s="31"/>
      <c r="I23" s="30"/>
      <c r="M23" s="31"/>
    </row>
    <row r="24" spans="2:15" ht="15" customHeight="1">
      <c r="B24" s="85" t="s">
        <v>44</v>
      </c>
      <c r="C24" s="86"/>
      <c r="D24" s="26">
        <v>11</v>
      </c>
      <c r="E24" s="32"/>
      <c r="I24" s="31"/>
      <c r="M24" s="31"/>
    </row>
    <row r="25" spans="2:15" ht="15" customHeight="1">
      <c r="I25" s="31"/>
      <c r="M25" s="31"/>
    </row>
    <row r="26" spans="2:15" ht="15" customHeight="1">
      <c r="G26" s="34" t="s">
        <v>11</v>
      </c>
      <c r="H26" s="35"/>
      <c r="I26" s="31"/>
      <c r="J26" s="84" t="str">
        <f>IF(ISBLANK(H22),"",IF(H22&gt;H30,F22,F30))</f>
        <v>Майсов</v>
      </c>
      <c r="K26" s="86"/>
      <c r="L26" s="26">
        <v>5</v>
      </c>
      <c r="M26" s="32"/>
    </row>
    <row r="27" spans="2:15" ht="15" customHeight="1">
      <c r="I27" s="31"/>
    </row>
    <row r="28" spans="2:15" ht="15" customHeight="1">
      <c r="B28" s="85" t="s">
        <v>45</v>
      </c>
      <c r="C28" s="86"/>
      <c r="D28" s="26">
        <v>7</v>
      </c>
      <c r="E28" s="29"/>
      <c r="I28" s="31"/>
    </row>
    <row r="29" spans="2:15" ht="15" customHeight="1">
      <c r="E29" s="30"/>
      <c r="I29" s="31"/>
    </row>
    <row r="30" spans="2:15" ht="15" customHeight="1">
      <c r="B30" s="34" t="s">
        <v>11</v>
      </c>
      <c r="C30" s="35"/>
      <c r="E30" s="31"/>
      <c r="F30" s="84" t="str">
        <f>IF(ISBLANK(D28),"",IF(D28&gt;D32,B28,B32))</f>
        <v>Майсов</v>
      </c>
      <c r="G30" s="86"/>
      <c r="H30" s="26">
        <v>11</v>
      </c>
      <c r="I30" s="32"/>
    </row>
    <row r="31" spans="2:15" ht="15" customHeight="1">
      <c r="E31" s="31"/>
    </row>
    <row r="32" spans="2:15" ht="15" customHeight="1">
      <c r="B32" s="85" t="s">
        <v>46</v>
      </c>
      <c r="C32" s="86"/>
      <c r="D32" s="26">
        <v>13</v>
      </c>
      <c r="E32" s="32"/>
    </row>
    <row r="36" spans="2:7" ht="15" customHeight="1">
      <c r="B36" s="85" t="str">
        <f>IF(ISBLANK(H6),"",IF(H6&gt;H14,F14,F6))</f>
        <v>Анухин</v>
      </c>
      <c r="C36" s="86"/>
      <c r="D36" s="26">
        <v>13</v>
      </c>
      <c r="E36" s="29"/>
      <c r="F36" s="87"/>
      <c r="G36" s="87"/>
    </row>
    <row r="37" spans="2:7" ht="15" customHeight="1">
      <c r="E37" s="30"/>
    </row>
    <row r="38" spans="2:7" ht="15" customHeight="1">
      <c r="C38" s="34" t="s">
        <v>11</v>
      </c>
      <c r="E38" s="31"/>
      <c r="F38" s="84" t="str">
        <f>IF(ISBLANK(D36),"",IF(D36&gt;D40,B36,B40))</f>
        <v>Анухин</v>
      </c>
      <c r="G38" s="85"/>
    </row>
    <row r="39" spans="2:7" ht="15" customHeight="1">
      <c r="E39" s="31"/>
    </row>
    <row r="40" spans="2:7" ht="15" customHeight="1">
      <c r="B40" s="85" t="str">
        <f>IF(ISBLANK(H22),"",IF(H22&gt;H30,F30,F22))</f>
        <v>Коржов</v>
      </c>
      <c r="C40" s="86"/>
      <c r="D40" s="26">
        <v>3</v>
      </c>
      <c r="E40" s="32"/>
    </row>
  </sheetData>
  <mergeCells count="20">
    <mergeCell ref="B40:C40"/>
    <mergeCell ref="B28:C28"/>
    <mergeCell ref="F30:G30"/>
    <mergeCell ref="B32:C32"/>
    <mergeCell ref="B36:C36"/>
    <mergeCell ref="F36:G36"/>
    <mergeCell ref="F38:G38"/>
    <mergeCell ref="N18:O18"/>
    <mergeCell ref="B20:C20"/>
    <mergeCell ref="F22:G22"/>
    <mergeCell ref="B16:C16"/>
    <mergeCell ref="F14:G14"/>
    <mergeCell ref="J26:K26"/>
    <mergeCell ref="B24:C24"/>
    <mergeCell ref="J10:K10"/>
    <mergeCell ref="B1:K1"/>
    <mergeCell ref="B4:C4"/>
    <mergeCell ref="F6:G6"/>
    <mergeCell ref="B8:C8"/>
    <mergeCell ref="B12:C12"/>
  </mergeCells>
  <phoneticPr fontId="12" type="noConversion"/>
  <pageMargins left="0.25" right="0.25" top="0.75" bottom="0.75" header="0.3" footer="0.3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5"/>
  <sheetViews>
    <sheetView workbookViewId="0">
      <selection activeCell="B1" sqref="B1:K1"/>
    </sheetView>
  </sheetViews>
  <sheetFormatPr defaultRowHeight="15"/>
  <cols>
    <col min="1" max="1" width="4" style="28" customWidth="1"/>
    <col min="2" max="12" width="10.28515625" customWidth="1"/>
    <col min="13" max="13" width="10.28515625" style="36" customWidth="1"/>
    <col min="14" max="15" width="10.28515625" customWidth="1"/>
  </cols>
  <sheetData>
    <row r="1" spans="1:13" ht="40.5" customHeight="1"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</row>
    <row r="2" spans="1:13" ht="15.75" thickBot="1"/>
    <row r="3" spans="1:13" ht="30" customHeight="1" thickBot="1">
      <c r="B3" s="25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5" t="s">
        <v>1</v>
      </c>
      <c r="K3" s="1" t="s">
        <v>3</v>
      </c>
      <c r="L3" s="22" t="s">
        <v>2</v>
      </c>
    </row>
    <row r="4" spans="1:13" ht="24" customHeight="1">
      <c r="B4" s="70">
        <v>1</v>
      </c>
      <c r="C4" s="71" t="s">
        <v>48</v>
      </c>
      <c r="D4" s="72"/>
      <c r="E4" s="73"/>
      <c r="F4" s="10" t="s">
        <v>7</v>
      </c>
      <c r="G4" s="6" t="str">
        <f ca="1">INDIRECT(ADDRESS(21,6))&amp;":"&amp;INDIRECT(ADDRESS(21,7))</f>
        <v>5:9</v>
      </c>
      <c r="H4" s="6" t="str">
        <f ca="1">INDIRECT(ADDRESS(25,7))&amp;":"&amp;INDIRECT(ADDRESS(25,6))</f>
        <v>11:10</v>
      </c>
      <c r="I4" s="21" t="str">
        <f ca="1">INDIRECT(ADDRESS(16,6))&amp;":"&amp;INDIRECT(ADDRESS(16,7))</f>
        <v>13:2</v>
      </c>
      <c r="J4" s="81">
        <f ca="1">IF(COUNT(F5:I5)=0,"",COUNTIF(F5:I5,"&gt;0")+0.5*COUNTIF(F5:I5,0))</f>
        <v>2</v>
      </c>
      <c r="K4" s="24"/>
      <c r="L4" s="82">
        <v>1</v>
      </c>
    </row>
    <row r="5" spans="1:13" ht="24" customHeight="1">
      <c r="B5" s="54"/>
      <c r="C5" s="55"/>
      <c r="D5" s="56"/>
      <c r="E5" s="57"/>
      <c r="F5" s="14" t="s">
        <v>7</v>
      </c>
      <c r="G5" s="17">
        <f ca="1">IF(LEN(INDIRECT(ADDRESS(ROW()-1, COLUMN())))=1,"",INDIRECT(ADDRESS(21,6))-INDIRECT(ADDRESS(21,7)))</f>
        <v>-4</v>
      </c>
      <c r="H5" s="17">
        <f ca="1">IF(LEN(INDIRECT(ADDRESS(ROW()-1, COLUMN())))=1,"",INDIRECT(ADDRESS(25,7))-INDIRECT(ADDRESS(25,6)))</f>
        <v>1</v>
      </c>
      <c r="I5" s="18">
        <f ca="1">IF(LEN(INDIRECT(ADDRESS(ROW()-1, COLUMN())))=1,"",INDIRECT(ADDRESS(16,6))-INDIRECT(ADDRESS(16,7)))</f>
        <v>11</v>
      </c>
      <c r="J5" s="79"/>
      <c r="K5" s="17">
        <f ca="1">IF(COUNT(F5:I5)=0,"",SUM(F5:I5))</f>
        <v>8</v>
      </c>
      <c r="L5" s="77"/>
    </row>
    <row r="6" spans="1:13" ht="24" customHeight="1">
      <c r="B6" s="53">
        <v>2</v>
      </c>
      <c r="C6" s="55" t="s">
        <v>49</v>
      </c>
      <c r="D6" s="56"/>
      <c r="E6" s="57"/>
      <c r="F6" s="12" t="str">
        <f ca="1">INDIRECT(ADDRESS(21,7))&amp;":"&amp;INDIRECT(ADDRESS(21,6))</f>
        <v>9:5</v>
      </c>
      <c r="G6" s="8" t="s">
        <v>7</v>
      </c>
      <c r="H6" s="7" t="str">
        <f ca="1">INDIRECT(ADDRESS(17,6))&amp;":"&amp;INDIRECT(ADDRESS(17,7))</f>
        <v>13:0</v>
      </c>
      <c r="I6" s="11" t="str">
        <f ca="1">INDIRECT(ADDRESS(24,6))&amp;":"&amp;INDIRECT(ADDRESS(24,7))</f>
        <v>1:13</v>
      </c>
      <c r="J6" s="79">
        <f ca="1">IF(COUNT(F7:I7)=0,"",COUNTIF(F7:I7,"&gt;0")+0.5*COUNTIF(F7:I7,0))</f>
        <v>2</v>
      </c>
      <c r="K6" s="17"/>
      <c r="L6" s="77">
        <v>3</v>
      </c>
    </row>
    <row r="7" spans="1:13" ht="24" customHeight="1">
      <c r="B7" s="54"/>
      <c r="C7" s="55"/>
      <c r="D7" s="56"/>
      <c r="E7" s="57"/>
      <c r="F7" s="23">
        <f ca="1">IF(LEN(INDIRECT(ADDRESS(ROW()-1, COLUMN())))=1,"",INDIRECT(ADDRESS(21,7))-INDIRECT(ADDRESS(21,6)))</f>
        <v>4</v>
      </c>
      <c r="G7" s="15" t="s">
        <v>7</v>
      </c>
      <c r="H7" s="17">
        <f ca="1">IF(LEN(INDIRECT(ADDRESS(ROW()-1, COLUMN())))=1,"",INDIRECT(ADDRESS(17,6))-INDIRECT(ADDRESS(17,7)))</f>
        <v>13</v>
      </c>
      <c r="I7" s="18">
        <f ca="1">IF(LEN(INDIRECT(ADDRESS(ROW()-1, COLUMN())))=1,"",INDIRECT(ADDRESS(24,6))-INDIRECT(ADDRESS(24,7)))</f>
        <v>-12</v>
      </c>
      <c r="J7" s="79"/>
      <c r="K7" s="17">
        <f ca="1">IF(COUNT(F7:I7)=0,"",SUM(F7:I7))</f>
        <v>5</v>
      </c>
      <c r="L7" s="77"/>
    </row>
    <row r="8" spans="1:13" ht="24" customHeight="1">
      <c r="B8" s="53">
        <v>3</v>
      </c>
      <c r="C8" s="55" t="s">
        <v>50</v>
      </c>
      <c r="D8" s="56"/>
      <c r="E8" s="57"/>
      <c r="F8" s="12" t="str">
        <f ca="1">INDIRECT(ADDRESS(25,6))&amp;":"&amp;INDIRECT(ADDRESS(25,7))</f>
        <v>10:11</v>
      </c>
      <c r="G8" s="7" t="str">
        <f ca="1">INDIRECT(ADDRESS(17,7))&amp;":"&amp;INDIRECT(ADDRESS(17,6))</f>
        <v>0:13</v>
      </c>
      <c r="H8" s="8" t="s">
        <v>7</v>
      </c>
      <c r="I8" s="11" t="str">
        <f ca="1">INDIRECT(ADDRESS(20,7))&amp;":"&amp;INDIRECT(ADDRESS(20,6))</f>
        <v>2:13</v>
      </c>
      <c r="J8" s="79">
        <f ca="1">IF(COUNT(F9:I9)=0,"",COUNTIF(F9:I9,"&gt;0")+0.5*COUNTIF(F9:I9,0))</f>
        <v>0</v>
      </c>
      <c r="K8" s="17"/>
      <c r="L8" s="77">
        <v>4</v>
      </c>
    </row>
    <row r="9" spans="1:13" ht="24" customHeight="1">
      <c r="B9" s="54"/>
      <c r="C9" s="55"/>
      <c r="D9" s="56"/>
      <c r="E9" s="57"/>
      <c r="F9" s="23">
        <f ca="1">IF(LEN(INDIRECT(ADDRESS(ROW()-1, COLUMN())))=1,"",INDIRECT(ADDRESS(25,6))-INDIRECT(ADDRESS(25,7)))</f>
        <v>-1</v>
      </c>
      <c r="G9" s="17">
        <f ca="1">IF(LEN(INDIRECT(ADDRESS(ROW()-1, COLUMN())))=1,"",INDIRECT(ADDRESS(17,7))-INDIRECT(ADDRESS(17,6)))</f>
        <v>-13</v>
      </c>
      <c r="H9" s="15" t="s">
        <v>7</v>
      </c>
      <c r="I9" s="18">
        <f ca="1">IF(LEN(INDIRECT(ADDRESS(ROW()-1, COLUMN())))=1,"",INDIRECT(ADDRESS(20,7))-INDIRECT(ADDRESS(20,6)))</f>
        <v>-11</v>
      </c>
      <c r="J9" s="79"/>
      <c r="K9" s="17">
        <f ca="1">IF(COUNT(F9:I9)=0,"",SUM(F9:I9))</f>
        <v>-25</v>
      </c>
      <c r="L9" s="77"/>
    </row>
    <row r="10" spans="1:13" ht="24" customHeight="1">
      <c r="B10" s="53">
        <v>4</v>
      </c>
      <c r="C10" s="55" t="s">
        <v>51</v>
      </c>
      <c r="D10" s="56"/>
      <c r="E10" s="57"/>
      <c r="F10" s="12" t="str">
        <f ca="1">INDIRECT(ADDRESS(16,7))&amp;":"&amp;INDIRECT(ADDRESS(16,6))</f>
        <v>2:13</v>
      </c>
      <c r="G10" s="7" t="str">
        <f ca="1">INDIRECT(ADDRESS(24,7))&amp;":"&amp;INDIRECT(ADDRESS(24,6))</f>
        <v>13:1</v>
      </c>
      <c r="H10" s="7" t="str">
        <f ca="1">INDIRECT(ADDRESS(20,6))&amp;":"&amp;INDIRECT(ADDRESS(20,7))</f>
        <v>13:2</v>
      </c>
      <c r="I10" s="13" t="s">
        <v>7</v>
      </c>
      <c r="J10" s="79">
        <f ca="1">IF(COUNT(F11:I11)=0,"",COUNTIF(F11:I11,"&gt;0")+0.5*COUNTIF(F11:I11,0))</f>
        <v>2</v>
      </c>
      <c r="K10" s="17"/>
      <c r="L10" s="77">
        <v>2</v>
      </c>
    </row>
    <row r="11" spans="1:13" ht="24" customHeight="1" thickBot="1">
      <c r="B11" s="60"/>
      <c r="C11" s="61"/>
      <c r="D11" s="62"/>
      <c r="E11" s="63"/>
      <c r="F11" s="20">
        <f ca="1">IF(LEN(INDIRECT(ADDRESS(ROW()-1, COLUMN())))=1,"",INDIRECT(ADDRESS(16,7))-INDIRECT(ADDRESS(16,6)))</f>
        <v>-11</v>
      </c>
      <c r="G11" s="19">
        <f ca="1">IF(LEN(INDIRECT(ADDRESS(ROW()-1, COLUMN())))=1,"",INDIRECT(ADDRESS(24,7))-INDIRECT(ADDRESS(24,6)))</f>
        <v>12</v>
      </c>
      <c r="H11" s="19">
        <f ca="1">IF(LEN(INDIRECT(ADDRESS(ROW()-1, COLUMN())))=1,"",INDIRECT(ADDRESS(20,6))-INDIRECT(ADDRESS(20,7)))</f>
        <v>11</v>
      </c>
      <c r="I11" s="16" t="s">
        <v>7</v>
      </c>
      <c r="J11" s="80"/>
      <c r="K11" s="19">
        <f ca="1">IF(COUNT(F11:I11)=0,"",SUM(F11:I11))</f>
        <v>12</v>
      </c>
      <c r="L11" s="78"/>
    </row>
    <row r="15" spans="1:13" s="41" customFormat="1" ht="30" customHeight="1" thickBot="1">
      <c r="A15" s="40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5"/>
    </row>
    <row r="16" spans="1:13" s="41" customFormat="1" ht="30" customHeight="1" thickBot="1">
      <c r="A16" s="40"/>
      <c r="B16" s="46">
        <v>1</v>
      </c>
      <c r="C16" s="49" t="str">
        <f ca="1">IF(ISBLANK(INDIRECT(ADDRESS(B16*2+2,3))),"",INDIRECT(ADDRESS(B16*2+2,3)))</f>
        <v>Лукин, Лукина</v>
      </c>
      <c r="D16" s="49"/>
      <c r="E16" s="50"/>
      <c r="F16" s="42">
        <v>13</v>
      </c>
      <c r="G16" s="43">
        <v>2</v>
      </c>
      <c r="H16" s="51" t="str">
        <f ca="1">IF(ISBLANK(INDIRECT(ADDRESS(K16*2+2,3))),"",INDIRECT(ADDRESS(K16*2+2,3)))</f>
        <v>Карасёв, Симутина</v>
      </c>
      <c r="I16" s="49"/>
      <c r="J16" s="49"/>
      <c r="K16" s="46">
        <v>4</v>
      </c>
      <c r="L16" s="44" t="s">
        <v>11</v>
      </c>
      <c r="M16" s="47"/>
    </row>
    <row r="17" spans="1:13" s="41" customFormat="1" ht="30" customHeight="1" thickBot="1">
      <c r="A17" s="40"/>
      <c r="B17" s="46">
        <v>2</v>
      </c>
      <c r="C17" s="49" t="str">
        <f ca="1">IF(ISBLANK(INDIRECT(ADDRESS(B17*2+2,3))),"",INDIRECT(ADDRESS(B17*2+2,3)))</f>
        <v>Анухин, Григорова</v>
      </c>
      <c r="D17" s="49"/>
      <c r="E17" s="50"/>
      <c r="F17" s="42">
        <v>13</v>
      </c>
      <c r="G17" s="43">
        <v>0</v>
      </c>
      <c r="H17" s="51" t="str">
        <f ca="1">IF(ISBLANK(INDIRECT(ADDRESS(K17*2+2,3))),"",INDIRECT(ADDRESS(K17*2+2,3)))</f>
        <v>Дорошенко, Серёгина</v>
      </c>
      <c r="I17" s="49"/>
      <c r="J17" s="49"/>
      <c r="K17" s="46">
        <v>3</v>
      </c>
      <c r="L17" s="44" t="s">
        <v>11</v>
      </c>
      <c r="M17" s="47"/>
    </row>
    <row r="18" spans="1:13" s="41" customFormat="1" ht="30" customHeight="1">
      <c r="A18" s="40"/>
      <c r="M18" s="47"/>
    </row>
    <row r="19" spans="1:13" s="41" customFormat="1" ht="30" customHeight="1" thickBot="1">
      <c r="A19" s="40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M19" s="47"/>
    </row>
    <row r="20" spans="1:13" s="41" customFormat="1" ht="30" customHeight="1" thickBot="1">
      <c r="A20" s="40"/>
      <c r="B20" s="46">
        <v>4</v>
      </c>
      <c r="C20" s="49" t="str">
        <f ca="1">IF(ISBLANK(INDIRECT(ADDRESS(B20*2+2,3))),"",INDIRECT(ADDRESS(B20*2+2,3)))</f>
        <v>Карасёв, Симутина</v>
      </c>
      <c r="D20" s="49"/>
      <c r="E20" s="50"/>
      <c r="F20" s="42">
        <v>13</v>
      </c>
      <c r="G20" s="43">
        <v>2</v>
      </c>
      <c r="H20" s="51" t="str">
        <f ca="1">IF(ISBLANK(INDIRECT(ADDRESS(K20*2+2,3))),"",INDIRECT(ADDRESS(K20*2+2,3)))</f>
        <v>Дорошенко, Серёгина</v>
      </c>
      <c r="I20" s="49"/>
      <c r="J20" s="49"/>
      <c r="K20" s="46">
        <v>3</v>
      </c>
      <c r="L20" s="44" t="s">
        <v>11</v>
      </c>
      <c r="M20" s="47"/>
    </row>
    <row r="21" spans="1:13" s="41" customFormat="1" ht="30" customHeight="1" thickBot="1">
      <c r="A21" s="40"/>
      <c r="B21" s="46">
        <v>1</v>
      </c>
      <c r="C21" s="49" t="str">
        <f ca="1">IF(ISBLANK(INDIRECT(ADDRESS(B21*2+2,3))),"",INDIRECT(ADDRESS(B21*2+2,3)))</f>
        <v>Лукин, Лукина</v>
      </c>
      <c r="D21" s="49"/>
      <c r="E21" s="50"/>
      <c r="F21" s="42">
        <v>5</v>
      </c>
      <c r="G21" s="43">
        <v>9</v>
      </c>
      <c r="H21" s="51" t="str">
        <f ca="1">IF(ISBLANK(INDIRECT(ADDRESS(K21*2+2,3))),"",INDIRECT(ADDRESS(K21*2+2,3)))</f>
        <v>Анухин, Григорова</v>
      </c>
      <c r="I21" s="49"/>
      <c r="J21" s="49"/>
      <c r="K21" s="46">
        <v>2</v>
      </c>
      <c r="L21" s="44" t="s">
        <v>11</v>
      </c>
      <c r="M21" s="47"/>
    </row>
    <row r="22" spans="1:13" s="41" customFormat="1" ht="30" customHeight="1">
      <c r="A22" s="40"/>
      <c r="M22" s="47"/>
    </row>
    <row r="23" spans="1:13" s="41" customFormat="1" ht="30" customHeight="1" thickBot="1">
      <c r="A23" s="40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M23" s="47"/>
    </row>
    <row r="24" spans="1:13" s="41" customFormat="1" ht="30" customHeight="1" thickBot="1">
      <c r="A24" s="40"/>
      <c r="B24" s="46">
        <v>2</v>
      </c>
      <c r="C24" s="49" t="str">
        <f ca="1">IF(ISBLANK(INDIRECT(ADDRESS(B24*2+2,3))),"",INDIRECT(ADDRESS(B24*2+2,3)))</f>
        <v>Анухин, Григорова</v>
      </c>
      <c r="D24" s="49"/>
      <c r="E24" s="50"/>
      <c r="F24" s="42">
        <v>1</v>
      </c>
      <c r="G24" s="43">
        <v>13</v>
      </c>
      <c r="H24" s="51" t="str">
        <f ca="1">IF(ISBLANK(INDIRECT(ADDRESS(K24*2+2,3))),"",INDIRECT(ADDRESS(K24*2+2,3)))</f>
        <v>Карасёв, Симутина</v>
      </c>
      <c r="I24" s="49"/>
      <c r="J24" s="49"/>
      <c r="K24" s="46">
        <v>4</v>
      </c>
      <c r="L24" s="44" t="s">
        <v>11</v>
      </c>
      <c r="M24" s="47"/>
    </row>
    <row r="25" spans="1:13" s="41" customFormat="1" ht="30" customHeight="1" thickBot="1">
      <c r="A25" s="40"/>
      <c r="B25" s="46">
        <v>3</v>
      </c>
      <c r="C25" s="49" t="str">
        <f ca="1">IF(ISBLANK(INDIRECT(ADDRESS(B25*2+2,3))),"",INDIRECT(ADDRESS(B25*2+2,3)))</f>
        <v>Дорошенко, Серёгина</v>
      </c>
      <c r="D25" s="49"/>
      <c r="E25" s="50"/>
      <c r="F25" s="42">
        <v>10</v>
      </c>
      <c r="G25" s="43">
        <v>11</v>
      </c>
      <c r="H25" s="51" t="str">
        <f ca="1">IF(ISBLANK(INDIRECT(ADDRESS(K25*2+2,3))),"",INDIRECT(ADDRESS(K25*2+2,3)))</f>
        <v>Лукин, Лукина</v>
      </c>
      <c r="I25" s="49"/>
      <c r="J25" s="49"/>
      <c r="K25" s="46">
        <v>1</v>
      </c>
      <c r="L25" s="44" t="s">
        <v>11</v>
      </c>
      <c r="M25" s="47"/>
    </row>
  </sheetData>
  <sheetCalcPr fullCalcOnLoad="1"/>
  <mergeCells count="33">
    <mergeCell ref="B4:B5"/>
    <mergeCell ref="C4:E5"/>
    <mergeCell ref="J4:J5"/>
    <mergeCell ref="L4:L5"/>
    <mergeCell ref="B1:K1"/>
    <mergeCell ref="B6:B7"/>
    <mergeCell ref="C6:E7"/>
    <mergeCell ref="J6:J7"/>
    <mergeCell ref="C16:E16"/>
    <mergeCell ref="H16:J16"/>
    <mergeCell ref="C17:E17"/>
    <mergeCell ref="H17:J17"/>
    <mergeCell ref="L6:L7"/>
    <mergeCell ref="C3:E3"/>
    <mergeCell ref="L8:L9"/>
    <mergeCell ref="B10:B11"/>
    <mergeCell ref="C10:E11"/>
    <mergeCell ref="J10:J11"/>
    <mergeCell ref="L10:L11"/>
    <mergeCell ref="B19:K19"/>
    <mergeCell ref="B8:B9"/>
    <mergeCell ref="C8:E9"/>
    <mergeCell ref="J8:J9"/>
    <mergeCell ref="B15:K15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12" type="noConversion"/>
  <printOptions horizontalCentered="1"/>
  <pageMargins left="0.25" right="0.25" top="0.75" bottom="0.75" header="0.3" footer="0.3"/>
  <pageSetup paperSize="9" scale="84"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B1" sqref="B1:K1"/>
    </sheetView>
  </sheetViews>
  <sheetFormatPr defaultRowHeight="15"/>
  <cols>
    <col min="1" max="1" width="4" style="28" customWidth="1"/>
    <col min="2" max="12" width="10.28515625" customWidth="1"/>
    <col min="13" max="13" width="10.28515625" style="36" customWidth="1"/>
    <col min="14" max="15" width="10.28515625" customWidth="1"/>
  </cols>
  <sheetData>
    <row r="1" spans="1:13" ht="40.5" customHeight="1">
      <c r="B1" s="88" t="s">
        <v>52</v>
      </c>
      <c r="C1" s="88"/>
      <c r="D1" s="88"/>
      <c r="E1" s="88"/>
      <c r="F1" s="88"/>
      <c r="G1" s="88"/>
      <c r="H1" s="88"/>
      <c r="I1" s="88"/>
      <c r="J1" s="88"/>
      <c r="K1" s="88"/>
    </row>
    <row r="2" spans="1:13" ht="15.75" thickBot="1"/>
    <row r="3" spans="1:13" ht="30" customHeight="1" thickBot="1">
      <c r="B3" s="25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5" t="s">
        <v>1</v>
      </c>
      <c r="K3" s="1" t="s">
        <v>3</v>
      </c>
      <c r="L3" s="22" t="s">
        <v>2</v>
      </c>
    </row>
    <row r="4" spans="1:13" ht="24" customHeight="1">
      <c r="B4" s="70">
        <v>1</v>
      </c>
      <c r="C4" s="71" t="s">
        <v>53</v>
      </c>
      <c r="D4" s="72"/>
      <c r="E4" s="73"/>
      <c r="F4" s="10" t="s">
        <v>7</v>
      </c>
      <c r="G4" s="6" t="str">
        <f ca="1">INDIRECT(ADDRESS(21,6))&amp;":"&amp;INDIRECT(ADDRESS(21,7))</f>
        <v>5:8</v>
      </c>
      <c r="H4" s="6" t="str">
        <f ca="1">INDIRECT(ADDRESS(25,7))&amp;":"&amp;INDIRECT(ADDRESS(25,6))</f>
        <v>13:4</v>
      </c>
      <c r="I4" s="21" t="str">
        <f ca="1">INDIRECT(ADDRESS(16,6))&amp;":"&amp;INDIRECT(ADDRESS(16,7))</f>
        <v>13:7</v>
      </c>
      <c r="J4" s="81">
        <f ca="1">IF(COUNT(F5:I5)=0,"",COUNTIF(F5:I5,"&gt;0")+0.5*COUNTIF(F5:I5,0))</f>
        <v>2</v>
      </c>
      <c r="K4" s="24"/>
      <c r="L4" s="82"/>
    </row>
    <row r="5" spans="1:13" ht="24" customHeight="1">
      <c r="B5" s="54"/>
      <c r="C5" s="55"/>
      <c r="D5" s="56"/>
      <c r="E5" s="57"/>
      <c r="F5" s="14" t="s">
        <v>7</v>
      </c>
      <c r="G5" s="17">
        <f ca="1">IF(LEN(INDIRECT(ADDRESS(ROW()-1, COLUMN())))=1,"",INDIRECT(ADDRESS(21,6))-INDIRECT(ADDRESS(21,7)))</f>
        <v>-3</v>
      </c>
      <c r="H5" s="17">
        <f ca="1">IF(LEN(INDIRECT(ADDRESS(ROW()-1, COLUMN())))=1,"",INDIRECT(ADDRESS(25,7))-INDIRECT(ADDRESS(25,6)))</f>
        <v>9</v>
      </c>
      <c r="I5" s="18">
        <f ca="1">IF(LEN(INDIRECT(ADDRESS(ROW()-1, COLUMN())))=1,"",INDIRECT(ADDRESS(16,6))-INDIRECT(ADDRESS(16,7)))</f>
        <v>6</v>
      </c>
      <c r="J5" s="79"/>
      <c r="K5" s="17">
        <f ca="1">IF(COUNT(F5:I5)=0,"",SUM(F5:I5))</f>
        <v>12</v>
      </c>
      <c r="L5" s="77"/>
    </row>
    <row r="6" spans="1:13" ht="24" customHeight="1">
      <c r="B6" s="53">
        <v>2</v>
      </c>
      <c r="C6" s="55" t="s">
        <v>54</v>
      </c>
      <c r="D6" s="56"/>
      <c r="E6" s="57"/>
      <c r="F6" s="12" t="str">
        <f ca="1">INDIRECT(ADDRESS(21,7))&amp;":"&amp;INDIRECT(ADDRESS(21,6))</f>
        <v>8:5</v>
      </c>
      <c r="G6" s="8" t="s">
        <v>7</v>
      </c>
      <c r="H6" s="7" t="str">
        <f ca="1">INDIRECT(ADDRESS(17,6))&amp;":"&amp;INDIRECT(ADDRESS(17,7))</f>
        <v>13:3</v>
      </c>
      <c r="I6" s="11" t="str">
        <f ca="1">INDIRECT(ADDRESS(24,6))&amp;":"&amp;INDIRECT(ADDRESS(24,7))</f>
        <v>13:2</v>
      </c>
      <c r="J6" s="79">
        <f ca="1">IF(COUNT(F7:I7)=0,"",COUNTIF(F7:I7,"&gt;0")+0.5*COUNTIF(F7:I7,0))</f>
        <v>3</v>
      </c>
      <c r="K6" s="17"/>
      <c r="L6" s="77"/>
    </row>
    <row r="7" spans="1:13" ht="24" customHeight="1">
      <c r="B7" s="54"/>
      <c r="C7" s="55"/>
      <c r="D7" s="56"/>
      <c r="E7" s="57"/>
      <c r="F7" s="23">
        <f ca="1">IF(LEN(INDIRECT(ADDRESS(ROW()-1, COLUMN())))=1,"",INDIRECT(ADDRESS(21,7))-INDIRECT(ADDRESS(21,6)))</f>
        <v>3</v>
      </c>
      <c r="G7" s="15" t="s">
        <v>7</v>
      </c>
      <c r="H7" s="17">
        <f ca="1">IF(LEN(INDIRECT(ADDRESS(ROW()-1, COLUMN())))=1,"",INDIRECT(ADDRESS(17,6))-INDIRECT(ADDRESS(17,7)))</f>
        <v>10</v>
      </c>
      <c r="I7" s="18">
        <f ca="1">IF(LEN(INDIRECT(ADDRESS(ROW()-1, COLUMN())))=1,"",INDIRECT(ADDRESS(24,6))-INDIRECT(ADDRESS(24,7)))</f>
        <v>11</v>
      </c>
      <c r="J7" s="79"/>
      <c r="K7" s="17">
        <f ca="1">IF(COUNT(F7:I7)=0,"",SUM(F7:I7))</f>
        <v>24</v>
      </c>
      <c r="L7" s="77"/>
    </row>
    <row r="8" spans="1:13" ht="24" customHeight="1">
      <c r="B8" s="53">
        <v>3</v>
      </c>
      <c r="C8" s="55" t="s">
        <v>55</v>
      </c>
      <c r="D8" s="56"/>
      <c r="E8" s="57"/>
      <c r="F8" s="12" t="str">
        <f ca="1">INDIRECT(ADDRESS(25,6))&amp;":"&amp;INDIRECT(ADDRESS(25,7))</f>
        <v>4:13</v>
      </c>
      <c r="G8" s="7" t="str">
        <f ca="1">INDIRECT(ADDRESS(17,7))&amp;":"&amp;INDIRECT(ADDRESS(17,6))</f>
        <v>3:13</v>
      </c>
      <c r="H8" s="8" t="s">
        <v>7</v>
      </c>
      <c r="I8" s="11" t="str">
        <f ca="1">INDIRECT(ADDRESS(20,7))&amp;":"&amp;INDIRECT(ADDRESS(20,6))</f>
        <v>10:12</v>
      </c>
      <c r="J8" s="79">
        <f ca="1">IF(COUNT(F9:I9)=0,"",COUNTIF(F9:I9,"&gt;0")+0.5*COUNTIF(F9:I9,0))</f>
        <v>0</v>
      </c>
      <c r="K8" s="17"/>
      <c r="L8" s="77"/>
    </row>
    <row r="9" spans="1:13" ht="24" customHeight="1">
      <c r="B9" s="54"/>
      <c r="C9" s="55"/>
      <c r="D9" s="56"/>
      <c r="E9" s="57"/>
      <c r="F9" s="23">
        <f ca="1">IF(LEN(INDIRECT(ADDRESS(ROW()-1, COLUMN())))=1,"",INDIRECT(ADDRESS(25,6))-INDIRECT(ADDRESS(25,7)))</f>
        <v>-9</v>
      </c>
      <c r="G9" s="17">
        <f ca="1">IF(LEN(INDIRECT(ADDRESS(ROW()-1, COLUMN())))=1,"",INDIRECT(ADDRESS(17,7))-INDIRECT(ADDRESS(17,6)))</f>
        <v>-10</v>
      </c>
      <c r="H9" s="15" t="s">
        <v>7</v>
      </c>
      <c r="I9" s="18">
        <f ca="1">IF(LEN(INDIRECT(ADDRESS(ROW()-1, COLUMN())))=1,"",INDIRECT(ADDRESS(20,7))-INDIRECT(ADDRESS(20,6)))</f>
        <v>-2</v>
      </c>
      <c r="J9" s="79"/>
      <c r="K9" s="17">
        <f ca="1">IF(COUNT(F9:I9)=0,"",SUM(F9:I9))</f>
        <v>-21</v>
      </c>
      <c r="L9" s="77"/>
    </row>
    <row r="10" spans="1:13" ht="24" customHeight="1">
      <c r="B10" s="53">
        <v>4</v>
      </c>
      <c r="C10" s="55" t="s">
        <v>56</v>
      </c>
      <c r="D10" s="56"/>
      <c r="E10" s="57"/>
      <c r="F10" s="12" t="str">
        <f ca="1">INDIRECT(ADDRESS(16,7))&amp;":"&amp;INDIRECT(ADDRESS(16,6))</f>
        <v>7:13</v>
      </c>
      <c r="G10" s="7" t="str">
        <f ca="1">INDIRECT(ADDRESS(24,7))&amp;":"&amp;INDIRECT(ADDRESS(24,6))</f>
        <v>2:13</v>
      </c>
      <c r="H10" s="7" t="str">
        <f ca="1">INDIRECT(ADDRESS(20,6))&amp;":"&amp;INDIRECT(ADDRESS(20,7))</f>
        <v>12:10</v>
      </c>
      <c r="I10" s="13" t="s">
        <v>7</v>
      </c>
      <c r="J10" s="79">
        <f ca="1">IF(COUNT(F11:I11)=0,"",COUNTIF(F11:I11,"&gt;0")+0.5*COUNTIF(F11:I11,0))</f>
        <v>1</v>
      </c>
      <c r="K10" s="17"/>
      <c r="L10" s="77"/>
    </row>
    <row r="11" spans="1:13" ht="24" customHeight="1" thickBot="1">
      <c r="B11" s="60"/>
      <c r="C11" s="61"/>
      <c r="D11" s="62"/>
      <c r="E11" s="63"/>
      <c r="F11" s="20">
        <f ca="1">IF(LEN(INDIRECT(ADDRESS(ROW()-1, COLUMN())))=1,"",INDIRECT(ADDRESS(16,7))-INDIRECT(ADDRESS(16,6)))</f>
        <v>-6</v>
      </c>
      <c r="G11" s="19">
        <f ca="1">IF(LEN(INDIRECT(ADDRESS(ROW()-1, COLUMN())))=1,"",INDIRECT(ADDRESS(24,7))-INDIRECT(ADDRESS(24,6)))</f>
        <v>-11</v>
      </c>
      <c r="H11" s="19">
        <f ca="1">IF(LEN(INDIRECT(ADDRESS(ROW()-1, COLUMN())))=1,"",INDIRECT(ADDRESS(20,6))-INDIRECT(ADDRESS(20,7)))</f>
        <v>2</v>
      </c>
      <c r="I11" s="16" t="s">
        <v>7</v>
      </c>
      <c r="J11" s="80"/>
      <c r="K11" s="19">
        <f ca="1">IF(COUNT(F11:I11)=0,"",SUM(F11:I11))</f>
        <v>-15</v>
      </c>
      <c r="L11" s="78"/>
    </row>
    <row r="15" spans="1:13" s="41" customFormat="1" ht="30" customHeight="1" thickBot="1">
      <c r="A15" s="40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5"/>
    </row>
    <row r="16" spans="1:13" s="41" customFormat="1" ht="30" customHeight="1" thickBot="1">
      <c r="A16" s="40"/>
      <c r="B16" s="46">
        <v>1</v>
      </c>
      <c r="C16" s="49" t="str">
        <f ca="1">IF(ISBLANK(INDIRECT(ADDRESS(B16*2+2,3))),"",INDIRECT(ADDRESS(B16*2+2,3)))</f>
        <v>Майсов, Корицская</v>
      </c>
      <c r="D16" s="49"/>
      <c r="E16" s="50"/>
      <c r="F16" s="42">
        <v>13</v>
      </c>
      <c r="G16" s="43">
        <v>7</v>
      </c>
      <c r="H16" s="89" t="str">
        <f ca="1">IF(ISBLANK(INDIRECT(ADDRESS(K16*2+2,3))),"",INDIRECT(ADDRESS(K16*2+2,3)))</f>
        <v>Железняков, Турахаджаева</v>
      </c>
      <c r="I16" s="90"/>
      <c r="J16" s="90"/>
      <c r="K16" s="46">
        <v>4</v>
      </c>
      <c r="L16" s="44" t="s">
        <v>11</v>
      </c>
      <c r="M16" s="47"/>
    </row>
    <row r="17" spans="1:13" s="41" customFormat="1" ht="30" customHeight="1" thickBot="1">
      <c r="A17" s="40"/>
      <c r="B17" s="46">
        <v>2</v>
      </c>
      <c r="C17" s="91" t="str">
        <f ca="1">IF(ISBLANK(INDIRECT(ADDRESS(B17*2+2,3))),"",INDIRECT(ADDRESS(B17*2+2,3)))</f>
        <v>Капран-Индаяти, Маркина</v>
      </c>
      <c r="D17" s="91"/>
      <c r="E17" s="92"/>
      <c r="F17" s="42">
        <v>13</v>
      </c>
      <c r="G17" s="43">
        <v>3</v>
      </c>
      <c r="H17" s="51" t="str">
        <f ca="1">IF(ISBLANK(INDIRECT(ADDRESS(K17*2+2,3))),"",INDIRECT(ADDRESS(K17*2+2,3)))</f>
        <v>Коржов, Николаева</v>
      </c>
      <c r="I17" s="49"/>
      <c r="J17" s="49"/>
      <c r="K17" s="46">
        <v>3</v>
      </c>
      <c r="L17" s="44" t="s">
        <v>11</v>
      </c>
      <c r="M17" s="47"/>
    </row>
    <row r="18" spans="1:13" s="41" customFormat="1" ht="30" customHeight="1">
      <c r="A18" s="40"/>
      <c r="M18" s="47"/>
    </row>
    <row r="19" spans="1:13" s="41" customFormat="1" ht="30" customHeight="1" thickBot="1">
      <c r="A19" s="40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M19" s="47"/>
    </row>
    <row r="20" spans="1:13" s="41" customFormat="1" ht="30" customHeight="1" thickBot="1">
      <c r="A20" s="40"/>
      <c r="B20" s="46">
        <v>4</v>
      </c>
      <c r="C20" s="90" t="str">
        <f ca="1">IF(ISBLANK(INDIRECT(ADDRESS(B20*2+2,3))),"",INDIRECT(ADDRESS(B20*2+2,3)))</f>
        <v>Железняков, Турахаджаева</v>
      </c>
      <c r="D20" s="90"/>
      <c r="E20" s="93"/>
      <c r="F20" s="42">
        <v>12</v>
      </c>
      <c r="G20" s="43">
        <v>10</v>
      </c>
      <c r="H20" s="51" t="str">
        <f ca="1">IF(ISBLANK(INDIRECT(ADDRESS(K20*2+2,3))),"",INDIRECT(ADDRESS(K20*2+2,3)))</f>
        <v>Коржов, Николаева</v>
      </c>
      <c r="I20" s="49"/>
      <c r="J20" s="49"/>
      <c r="K20" s="46">
        <v>3</v>
      </c>
      <c r="L20" s="44" t="s">
        <v>11</v>
      </c>
      <c r="M20" s="47"/>
    </row>
    <row r="21" spans="1:13" s="41" customFormat="1" ht="30" customHeight="1" thickBot="1">
      <c r="A21" s="40"/>
      <c r="B21" s="46">
        <v>1</v>
      </c>
      <c r="C21" s="49" t="str">
        <f ca="1">IF(ISBLANK(INDIRECT(ADDRESS(B21*2+2,3))),"",INDIRECT(ADDRESS(B21*2+2,3)))</f>
        <v>Майсов, Корицская</v>
      </c>
      <c r="D21" s="49"/>
      <c r="E21" s="50"/>
      <c r="F21" s="42">
        <v>5</v>
      </c>
      <c r="G21" s="43">
        <v>8</v>
      </c>
      <c r="H21" s="94" t="str">
        <f ca="1">IF(ISBLANK(INDIRECT(ADDRESS(K21*2+2,3))),"",INDIRECT(ADDRESS(K21*2+2,3)))</f>
        <v>Капран-Индаяти, Маркина</v>
      </c>
      <c r="I21" s="91"/>
      <c r="J21" s="91"/>
      <c r="K21" s="46">
        <v>2</v>
      </c>
      <c r="L21" s="44" t="s">
        <v>11</v>
      </c>
      <c r="M21" s="47"/>
    </row>
    <row r="22" spans="1:13" s="41" customFormat="1" ht="30" customHeight="1">
      <c r="A22" s="40"/>
      <c r="M22" s="47"/>
    </row>
    <row r="23" spans="1:13" s="41" customFormat="1" ht="30" customHeight="1" thickBot="1">
      <c r="A23" s="40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M23" s="47"/>
    </row>
    <row r="24" spans="1:13" s="41" customFormat="1" ht="30" customHeight="1" thickBot="1">
      <c r="A24" s="40"/>
      <c r="B24" s="46">
        <v>2</v>
      </c>
      <c r="C24" s="91" t="str">
        <f ca="1">IF(ISBLANK(INDIRECT(ADDRESS(B24*2+2,3))),"",INDIRECT(ADDRESS(B24*2+2,3)))</f>
        <v>Капран-Индаяти, Маркина</v>
      </c>
      <c r="D24" s="91"/>
      <c r="E24" s="92"/>
      <c r="F24" s="42">
        <v>13</v>
      </c>
      <c r="G24" s="43">
        <v>2</v>
      </c>
      <c r="H24" s="89" t="str">
        <f ca="1">IF(ISBLANK(INDIRECT(ADDRESS(K24*2+2,3))),"",INDIRECT(ADDRESS(K24*2+2,3)))</f>
        <v>Железняков, Турахаджаева</v>
      </c>
      <c r="I24" s="90"/>
      <c r="J24" s="90"/>
      <c r="K24" s="46">
        <v>4</v>
      </c>
      <c r="L24" s="44" t="s">
        <v>11</v>
      </c>
      <c r="M24" s="47"/>
    </row>
    <row r="25" spans="1:13" s="41" customFormat="1" ht="30" customHeight="1" thickBot="1">
      <c r="A25" s="40"/>
      <c r="B25" s="46">
        <v>3</v>
      </c>
      <c r="C25" s="49" t="str">
        <f ca="1">IF(ISBLANK(INDIRECT(ADDRESS(B25*2+2,3))),"",INDIRECT(ADDRESS(B25*2+2,3)))</f>
        <v>Коржов, Николаева</v>
      </c>
      <c r="D25" s="49"/>
      <c r="E25" s="50"/>
      <c r="F25" s="42">
        <v>4</v>
      </c>
      <c r="G25" s="43">
        <v>13</v>
      </c>
      <c r="H25" s="51" t="str">
        <f ca="1">IF(ISBLANK(INDIRECT(ADDRESS(K25*2+2,3))),"",INDIRECT(ADDRESS(K25*2+2,3)))</f>
        <v>Майсов, Корицская</v>
      </c>
      <c r="I25" s="49"/>
      <c r="J25" s="49"/>
      <c r="K25" s="46">
        <v>1</v>
      </c>
      <c r="L25" s="44" t="s">
        <v>11</v>
      </c>
      <c r="M25" s="47"/>
    </row>
  </sheetData>
  <sheetCalcPr fullCalcOnLoad="1"/>
  <mergeCells count="33">
    <mergeCell ref="H21:J21"/>
    <mergeCell ref="B23:K23"/>
    <mergeCell ref="C24:E24"/>
    <mergeCell ref="H24:J24"/>
    <mergeCell ref="L8:L9"/>
    <mergeCell ref="B10:B11"/>
    <mergeCell ref="C10:E11"/>
    <mergeCell ref="J10:J11"/>
    <mergeCell ref="L10:L11"/>
    <mergeCell ref="C25:E25"/>
    <mergeCell ref="H25:J25"/>
    <mergeCell ref="C20:E20"/>
    <mergeCell ref="H20:J20"/>
    <mergeCell ref="C21:E21"/>
    <mergeCell ref="B19:K19"/>
    <mergeCell ref="B8:B9"/>
    <mergeCell ref="C8:E9"/>
    <mergeCell ref="J8:J9"/>
    <mergeCell ref="B15:K15"/>
    <mergeCell ref="C16:E16"/>
    <mergeCell ref="H16:J16"/>
    <mergeCell ref="C17:E17"/>
    <mergeCell ref="H17:J17"/>
    <mergeCell ref="B1:K1"/>
    <mergeCell ref="B6:B7"/>
    <mergeCell ref="C6:E7"/>
    <mergeCell ref="J6:J7"/>
    <mergeCell ref="L6:L7"/>
    <mergeCell ref="C3:E3"/>
    <mergeCell ref="B4:B5"/>
    <mergeCell ref="C4:E5"/>
    <mergeCell ref="J4:J5"/>
    <mergeCell ref="L4:L5"/>
  </mergeCells>
  <phoneticPr fontId="12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J12" sqref="J12"/>
    </sheetView>
  </sheetViews>
  <sheetFormatPr defaultRowHeight="15"/>
  <cols>
    <col min="1" max="1" width="4" style="28" customWidth="1"/>
    <col min="2" max="11" width="10.28515625" customWidth="1"/>
    <col min="12" max="12" width="10.28515625" style="37" customWidth="1"/>
    <col min="13" max="15" width="10.28515625" customWidth="1"/>
  </cols>
  <sheetData>
    <row r="1" spans="2:13" ht="59.25" customHeight="1">
      <c r="B1" s="96" t="s">
        <v>61</v>
      </c>
      <c r="C1" s="96"/>
      <c r="D1" s="96"/>
      <c r="E1" s="96"/>
      <c r="F1" s="96"/>
      <c r="G1" s="96"/>
      <c r="H1" s="96"/>
      <c r="I1" s="96"/>
      <c r="J1" s="96"/>
      <c r="K1" s="96"/>
    </row>
    <row r="2" spans="2:13" ht="15.75" thickBot="1"/>
    <row r="3" spans="2:13" ht="30" customHeight="1" thickBot="1">
      <c r="B3" s="25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5" t="s">
        <v>1</v>
      </c>
      <c r="J3" s="1" t="s">
        <v>3</v>
      </c>
      <c r="K3" s="22" t="s">
        <v>2</v>
      </c>
    </row>
    <row r="4" spans="2:13" ht="24" customHeight="1">
      <c r="B4" s="70">
        <v>1</v>
      </c>
      <c r="C4" s="71" t="s">
        <v>62</v>
      </c>
      <c r="D4" s="72"/>
      <c r="E4" s="73"/>
      <c r="F4" s="10" t="s">
        <v>7</v>
      </c>
      <c r="G4" s="6" t="str">
        <f ca="1">INDIRECT(ADDRESS(17,6))&amp;":"&amp;INDIRECT(ADDRESS(17,7))</f>
        <v>5:13</v>
      </c>
      <c r="H4" s="21" t="str">
        <f ca="1">INDIRECT(ADDRESS(20,7))&amp;":"&amp;INDIRECT(ADDRESS(20,6))</f>
        <v>13:8</v>
      </c>
      <c r="I4" s="81">
        <f ca="1">IF(COUNT(F5:H5)=0,"",COUNTIF(F5:H5,"&gt;0")+0.5*COUNTIF(F5:H5,0))</f>
        <v>1</v>
      </c>
      <c r="J4" s="24" t="s">
        <v>65</v>
      </c>
      <c r="K4" s="82">
        <v>2</v>
      </c>
    </row>
    <row r="5" spans="2:13" ht="24" customHeight="1">
      <c r="B5" s="54"/>
      <c r="C5" s="55"/>
      <c r="D5" s="56"/>
      <c r="E5" s="57"/>
      <c r="F5" s="14" t="s">
        <v>7</v>
      </c>
      <c r="G5" s="17">
        <f ca="1">IF(LEN(INDIRECT(ADDRESS(ROW()-1, COLUMN())))=1,"",INDIRECT(ADDRESS(17,6))-INDIRECT(ADDRESS(17,7)))</f>
        <v>-8</v>
      </c>
      <c r="H5" s="18">
        <f ca="1">IF(LEN(INDIRECT(ADDRESS(ROW()-1, COLUMN())))=1,"",INDIRECT(ADDRESS(20,7))-INDIRECT(ADDRESS(20,6)))</f>
        <v>5</v>
      </c>
      <c r="I5" s="79"/>
      <c r="J5" s="17">
        <f ca="1">IF(COUNT(F5:H5)=0,"",SUM(F5:H5))</f>
        <v>-3</v>
      </c>
      <c r="K5" s="77"/>
    </row>
    <row r="6" spans="2:13" ht="24" customHeight="1">
      <c r="B6" s="53">
        <v>2</v>
      </c>
      <c r="C6" s="55" t="s">
        <v>63</v>
      </c>
      <c r="D6" s="56"/>
      <c r="E6" s="57"/>
      <c r="F6" s="12" t="str">
        <f ca="1">INDIRECT(ADDRESS(17,7))&amp;":"&amp;INDIRECT(ADDRESS(17,6))</f>
        <v>13:5</v>
      </c>
      <c r="G6" s="8" t="s">
        <v>7</v>
      </c>
      <c r="H6" s="11" t="str">
        <f ca="1">INDIRECT(ADDRESS(14,6))&amp;":"&amp;INDIRECT(ADDRESS(14,7))</f>
        <v>12:13</v>
      </c>
      <c r="I6" s="79">
        <f ca="1">IF(COUNT(F7:H7)=0,"",COUNTIF(F7:H7,"&gt;0")+0.5*COUNTIF(F7:H7,0))</f>
        <v>1</v>
      </c>
      <c r="J6" s="17" t="s">
        <v>66</v>
      </c>
      <c r="K6" s="77">
        <v>1</v>
      </c>
    </row>
    <row r="7" spans="2:13" ht="24" customHeight="1">
      <c r="B7" s="54"/>
      <c r="C7" s="55"/>
      <c r="D7" s="56"/>
      <c r="E7" s="57"/>
      <c r="F7" s="23">
        <f ca="1">IF(LEN(INDIRECT(ADDRESS(ROW()-1, COLUMN())))=1,"",INDIRECT(ADDRESS(17,7))-INDIRECT(ADDRESS(17,6)))</f>
        <v>8</v>
      </c>
      <c r="G7" s="15" t="s">
        <v>7</v>
      </c>
      <c r="H7" s="18">
        <f ca="1">IF(LEN(INDIRECT(ADDRESS(ROW()-1, COLUMN())))=1,"",INDIRECT(ADDRESS(14,6))-INDIRECT(ADDRESS(14,7)))</f>
        <v>-1</v>
      </c>
      <c r="I7" s="79"/>
      <c r="J7" s="17">
        <f ca="1">IF(COUNT(F7:H7)=0,"",SUM(F7:H7))</f>
        <v>7</v>
      </c>
      <c r="K7" s="77"/>
    </row>
    <row r="8" spans="2:13" ht="24" customHeight="1">
      <c r="B8" s="53">
        <v>3</v>
      </c>
      <c r="C8" s="55" t="s">
        <v>64</v>
      </c>
      <c r="D8" s="56"/>
      <c r="E8" s="57"/>
      <c r="F8" s="12" t="str">
        <f ca="1">INDIRECT(ADDRESS(20,6))&amp;":"&amp;INDIRECT(ADDRESS(20,7))</f>
        <v>8:13</v>
      </c>
      <c r="G8" s="7" t="str">
        <f ca="1">INDIRECT(ADDRESS(14,7))&amp;":"&amp;INDIRECT(ADDRESS(14,6))</f>
        <v>13:12</v>
      </c>
      <c r="H8" s="13" t="s">
        <v>7</v>
      </c>
      <c r="I8" s="79">
        <f ca="1">IF(COUNT(F9:H9)=0,"",COUNTIF(F9:H9,"&gt;0")+0.5*COUNTIF(F9:H9,0))</f>
        <v>1</v>
      </c>
      <c r="J8" s="17" t="s">
        <v>65</v>
      </c>
      <c r="K8" s="77">
        <v>4</v>
      </c>
    </row>
    <row r="9" spans="2:13" ht="24" customHeight="1" thickBot="1">
      <c r="B9" s="60"/>
      <c r="C9" s="61"/>
      <c r="D9" s="62"/>
      <c r="E9" s="63"/>
      <c r="F9" s="20">
        <f ca="1">IF(LEN(INDIRECT(ADDRESS(ROW()-1, COLUMN())))=1,"",INDIRECT(ADDRESS(20,6))-INDIRECT(ADDRESS(20,7)))</f>
        <v>-5</v>
      </c>
      <c r="G9" s="19">
        <f ca="1">IF(LEN(INDIRECT(ADDRESS(ROW()-1, COLUMN())))=1,"",INDIRECT(ADDRESS(14,7))-INDIRECT(ADDRESS(14,6)))</f>
        <v>1</v>
      </c>
      <c r="H9" s="16" t="s">
        <v>7</v>
      </c>
      <c r="I9" s="80"/>
      <c r="J9" s="19">
        <f ca="1">IF(COUNT(F9:H9)=0,"",SUM(F9:H9))</f>
        <v>-4</v>
      </c>
      <c r="K9" s="78"/>
    </row>
    <row r="13" spans="2:13" ht="30" customHeight="1"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2:13" ht="30" customHeight="1">
      <c r="B14" s="5">
        <v>2</v>
      </c>
      <c r="C14" s="95" t="str">
        <f ca="1">IF(ISBLANK(INDIRECT(ADDRESS(B14*2+2,3))),"",INDIRECT(ADDRESS(B14*2+2,3)))</f>
        <v>Рожков, Луданов</v>
      </c>
      <c r="D14" s="95"/>
      <c r="E14" s="95"/>
      <c r="F14" s="26">
        <v>12</v>
      </c>
      <c r="G14" s="26">
        <v>13</v>
      </c>
      <c r="H14" s="95" t="str">
        <f ca="1">IF(ISBLANK(INDIRECT(ADDRESS(K14*2+2,3))),"",INDIRECT(ADDRESS(K14*2+2,3)))</f>
        <v>Овчинников, Шубин</v>
      </c>
      <c r="I14" s="95"/>
      <c r="J14" s="95"/>
      <c r="K14" s="5">
        <v>3</v>
      </c>
      <c r="M14" s="35"/>
    </row>
    <row r="15" spans="2:13" ht="30" customHeight="1"/>
    <row r="16" spans="2:13" ht="30" customHeight="1"/>
    <row r="17" spans="1:13" ht="30" customHeight="1">
      <c r="B17" s="5">
        <v>1</v>
      </c>
      <c r="C17" s="95" t="str">
        <f ca="1">IF(ISBLANK(INDIRECT(ADDRESS(B17*2+2,3))),"",INDIRECT(ADDRESS(B17*2+2,3)))</f>
        <v>Пиманов, Будяк</v>
      </c>
      <c r="D17" s="95"/>
      <c r="E17" s="95"/>
      <c r="F17" s="26">
        <v>5</v>
      </c>
      <c r="G17" s="26">
        <v>13</v>
      </c>
      <c r="H17" s="95" t="str">
        <f ca="1">IF(ISBLANK(INDIRECT(ADDRESS(K17*2+2,3))),"",INDIRECT(ADDRESS(K17*2+2,3)))</f>
        <v>Рожков, Луданов</v>
      </c>
      <c r="I17" s="95"/>
      <c r="J17" s="95"/>
      <c r="K17" s="5">
        <v>2</v>
      </c>
      <c r="M17" s="35"/>
    </row>
    <row r="18" spans="1:13" ht="30" customHeight="1"/>
    <row r="19" spans="1:13" ht="30" customHeight="1"/>
    <row r="20" spans="1:13" ht="30" customHeight="1">
      <c r="B20" s="5">
        <v>3</v>
      </c>
      <c r="C20" s="95" t="str">
        <f ca="1">IF(ISBLANK(INDIRECT(ADDRESS(B20*2+2,3))),"",INDIRECT(ADDRESS(B20*2+2,3)))</f>
        <v>Овчинников, Шубин</v>
      </c>
      <c r="D20" s="95"/>
      <c r="E20" s="95"/>
      <c r="F20" s="26">
        <v>8</v>
      </c>
      <c r="G20" s="26">
        <v>13</v>
      </c>
      <c r="H20" s="95" t="str">
        <f ca="1">IF(ISBLANK(INDIRECT(ADDRESS(K20*2+2,3))),"",INDIRECT(ADDRESS(K20*2+2,3)))</f>
        <v>Пиманов, Будяк</v>
      </c>
      <c r="I20" s="95"/>
      <c r="J20" s="95"/>
      <c r="K20" s="5">
        <v>1</v>
      </c>
      <c r="M20" s="35"/>
    </row>
    <row r="23" spans="1:13" ht="21">
      <c r="B23" s="52" t="str">
        <f>"Тур 1 ("&amp;IF(ISBLANK(C6),"",C6)&amp;" и "&amp;IF(ISBLANK(C8),"",C8)&amp;")"</f>
        <v>Тур 1 (Рожков, Луданов и Овчинников, Шубин)</v>
      </c>
      <c r="C23" s="52"/>
      <c r="D23" s="52"/>
      <c r="E23" s="52"/>
      <c r="F23" s="52"/>
      <c r="G23" s="52"/>
      <c r="H23" s="52"/>
      <c r="I23" s="52"/>
      <c r="J23" s="52"/>
      <c r="K23" s="52"/>
      <c r="L23" s="37" t="s">
        <v>11</v>
      </c>
    </row>
    <row r="25" spans="1:13" ht="21">
      <c r="A25" s="28" t="s">
        <v>12</v>
      </c>
      <c r="B25" s="52" t="str">
        <f>"Тур 2 ("&amp;IF(ISBLANK(C4),"",C4)&amp;" и "&amp;IF(ISBLANK(A25),"проигравший","выигравший")&amp;" в первом туре)"</f>
        <v>Тур 2 (Пиманов, Будяк и выигравший в первом туре)</v>
      </c>
      <c r="C25" s="52"/>
      <c r="D25" s="52"/>
      <c r="E25" s="52"/>
      <c r="F25" s="52"/>
      <c r="G25" s="52"/>
      <c r="H25" s="52"/>
      <c r="I25" s="52"/>
      <c r="J25" s="52"/>
      <c r="K25" s="52"/>
      <c r="L25" s="37" t="s">
        <v>11</v>
      </c>
    </row>
    <row r="27" spans="1:13" ht="21">
      <c r="B27" s="52" t="str">
        <f>"Тур 3 ("&amp;IF(ISBLANK(C4),"",C4)&amp;" и "&amp;IF(NOT(ISBLANK(A25)),"проигравший","выигравший")&amp;" в первом туре)"</f>
        <v>Тур 3 (Пиманов, Будяк и проигравший в первом туре)</v>
      </c>
      <c r="C27" s="52"/>
      <c r="D27" s="52"/>
      <c r="E27" s="52"/>
      <c r="F27" s="52"/>
      <c r="G27" s="52"/>
      <c r="H27" s="52"/>
      <c r="I27" s="52"/>
      <c r="J27" s="52"/>
      <c r="K27" s="52"/>
      <c r="L27" s="37" t="s">
        <v>11</v>
      </c>
    </row>
  </sheetData>
  <sheetCalcPr fullCalcOnLoad="1"/>
  <mergeCells count="24">
    <mergeCell ref="B6:B7"/>
    <mergeCell ref="C6:E7"/>
    <mergeCell ref="I6:I7"/>
    <mergeCell ref="K6:K7"/>
    <mergeCell ref="B1:K1"/>
    <mergeCell ref="C3:E3"/>
    <mergeCell ref="B4:B5"/>
    <mergeCell ref="C4:E5"/>
    <mergeCell ref="I4:I5"/>
    <mergeCell ref="K4:K5"/>
    <mergeCell ref="B27:K27"/>
    <mergeCell ref="C20:E20"/>
    <mergeCell ref="H20:J20"/>
    <mergeCell ref="B23:K23"/>
    <mergeCell ref="B8:B9"/>
    <mergeCell ref="C8:E9"/>
    <mergeCell ref="I8:I9"/>
    <mergeCell ref="K8:K9"/>
    <mergeCell ref="B13:K13"/>
    <mergeCell ref="C14:E14"/>
    <mergeCell ref="H14:J14"/>
    <mergeCell ref="B25:K25"/>
    <mergeCell ref="C17:E17"/>
    <mergeCell ref="H17:J17"/>
  </mergeCells>
  <phoneticPr fontId="12" type="noConversion"/>
  <printOptions horizontalCentered="1"/>
  <pageMargins left="0.31496062992125984" right="0.31496062992125984" top="0.35433070866141736" bottom="0.55118110236220474" header="0.31496062992125984" footer="0.31496062992125984"/>
  <pageSetup paperSize="9" scale="83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4"/>
  <sheetViews>
    <sheetView workbookViewId="0">
      <selection activeCell="G21" sqref="G21"/>
    </sheetView>
  </sheetViews>
  <sheetFormatPr defaultRowHeight="15" customHeight="1"/>
  <cols>
    <col min="1" max="1" width="9.140625" style="28"/>
    <col min="2" max="16384" width="9.140625" style="27"/>
  </cols>
  <sheetData>
    <row r="1" spans="2:13" ht="59.25" customHeight="1">
      <c r="B1" s="97" t="s">
        <v>57</v>
      </c>
      <c r="C1" s="97"/>
      <c r="D1" s="97"/>
      <c r="E1" s="97"/>
      <c r="F1" s="97"/>
      <c r="G1" s="97"/>
      <c r="H1" s="97"/>
      <c r="I1" s="97"/>
      <c r="J1" s="97"/>
      <c r="K1" s="97"/>
    </row>
    <row r="2" spans="2:13" ht="15" customHeight="1">
      <c r="C2" s="35"/>
    </row>
    <row r="3" spans="2:13" ht="15" customHeight="1">
      <c r="C3" s="35"/>
    </row>
    <row r="4" spans="2:13" ht="15" customHeight="1">
      <c r="B4" s="85" t="s">
        <v>48</v>
      </c>
      <c r="C4" s="86"/>
      <c r="D4" s="26">
        <v>13</v>
      </c>
      <c r="E4" s="29"/>
    </row>
    <row r="5" spans="2:13" ht="15" customHeight="1">
      <c r="C5" s="35"/>
      <c r="E5" s="30"/>
    </row>
    <row r="6" spans="2:13" ht="15" customHeight="1">
      <c r="B6" s="34" t="s">
        <v>11</v>
      </c>
      <c r="C6" s="35"/>
      <c r="E6" s="31"/>
      <c r="F6" s="84" t="str">
        <f>IF(ISBLANK(D4),"",IF(D4&gt;D8,B4,B8))</f>
        <v>Лукин, Лукина</v>
      </c>
      <c r="G6" s="86"/>
      <c r="H6" s="26">
        <v>2</v>
      </c>
      <c r="I6" s="29"/>
    </row>
    <row r="7" spans="2:13" ht="15" customHeight="1">
      <c r="C7" s="35"/>
      <c r="E7" s="31"/>
      <c r="I7" s="30"/>
    </row>
    <row r="8" spans="2:13" ht="15" customHeight="1">
      <c r="B8" s="85" t="s">
        <v>59</v>
      </c>
      <c r="C8" s="86"/>
      <c r="D8" s="26">
        <v>12</v>
      </c>
      <c r="E8" s="32"/>
      <c r="I8" s="31"/>
    </row>
    <row r="9" spans="2:13" ht="15" customHeight="1">
      <c r="C9" s="35"/>
      <c r="I9" s="31"/>
    </row>
    <row r="10" spans="2:13" ht="15" customHeight="1">
      <c r="C10" s="35"/>
      <c r="G10" s="34" t="s">
        <v>11</v>
      </c>
      <c r="H10" s="35"/>
      <c r="I10" s="31"/>
      <c r="J10" s="84" t="str">
        <f>IF(ISBLANK(H6),"",IF(H6&gt;H14,F6,F14))</f>
        <v>Капран-Индаяти, Маркова</v>
      </c>
      <c r="K10" s="85"/>
      <c r="L10" s="38"/>
      <c r="M10" s="33"/>
    </row>
    <row r="11" spans="2:13" ht="15" customHeight="1">
      <c r="C11" s="35"/>
      <c r="I11" s="31"/>
      <c r="M11" s="33"/>
    </row>
    <row r="12" spans="2:13" ht="15" customHeight="1">
      <c r="B12" s="85" t="s">
        <v>51</v>
      </c>
      <c r="C12" s="86"/>
      <c r="D12" s="26">
        <v>1</v>
      </c>
      <c r="E12" s="29"/>
      <c r="I12" s="31"/>
      <c r="M12" s="33"/>
    </row>
    <row r="13" spans="2:13" ht="15" customHeight="1">
      <c r="C13" s="35"/>
      <c r="E13" s="30"/>
      <c r="I13" s="31"/>
      <c r="M13" s="33"/>
    </row>
    <row r="14" spans="2:13" ht="15" customHeight="1">
      <c r="B14" s="34" t="s">
        <v>11</v>
      </c>
      <c r="C14" s="35"/>
      <c r="E14" s="31"/>
      <c r="F14" s="84" t="str">
        <f>IF(ISBLANK(D12),"",IF(D12&gt;D16,B12,B16))</f>
        <v>Капран-Индаяти, Маркова</v>
      </c>
      <c r="G14" s="86"/>
      <c r="H14" s="26">
        <v>13</v>
      </c>
      <c r="I14" s="32"/>
      <c r="M14" s="33"/>
    </row>
    <row r="15" spans="2:13" ht="15" customHeight="1">
      <c r="E15" s="31"/>
      <c r="M15" s="33"/>
    </row>
    <row r="16" spans="2:13" ht="15" customHeight="1">
      <c r="B16" s="85" t="s">
        <v>60</v>
      </c>
      <c r="C16" s="86"/>
      <c r="D16" s="26">
        <v>13</v>
      </c>
      <c r="E16" s="32"/>
      <c r="M16" s="33"/>
    </row>
    <row r="17" spans="2:13" ht="15" customHeight="1">
      <c r="M17" s="33"/>
    </row>
    <row r="20" spans="2:13" ht="15" customHeight="1">
      <c r="B20" s="85" t="str">
        <f>IF(ISBLANK(D4),"",IF(D4&gt;D8,B8,B4))</f>
        <v>Майсов, Корицкая</v>
      </c>
      <c r="C20" s="86"/>
      <c r="D20" s="26">
        <v>5</v>
      </c>
      <c r="E20" s="29"/>
      <c r="F20" s="87"/>
      <c r="G20" s="87"/>
    </row>
    <row r="21" spans="2:13" ht="15" customHeight="1">
      <c r="E21" s="30"/>
    </row>
    <row r="22" spans="2:13" ht="15" customHeight="1">
      <c r="C22" s="34" t="s">
        <v>11</v>
      </c>
      <c r="E22" s="31"/>
      <c r="F22" s="84" t="str">
        <f>IF(ISBLANK(D20),"",IF(D20&gt;D24,B20,B24))</f>
        <v>Карасёв, Симутина</v>
      </c>
      <c r="G22" s="85"/>
    </row>
    <row r="23" spans="2:13" ht="15" customHeight="1">
      <c r="E23" s="31"/>
    </row>
    <row r="24" spans="2:13" ht="15" customHeight="1">
      <c r="B24" s="85" t="str">
        <f>IF(ISBLANK(D12),"",IF(D12&gt;D16,B16,B12))</f>
        <v>Карасёв, Симутина</v>
      </c>
      <c r="C24" s="86"/>
      <c r="D24" s="26">
        <v>13</v>
      </c>
      <c r="E24" s="32"/>
    </row>
  </sheetData>
  <mergeCells count="12">
    <mergeCell ref="B1:K1"/>
    <mergeCell ref="B4:C4"/>
    <mergeCell ref="F6:G6"/>
    <mergeCell ref="B8:C8"/>
    <mergeCell ref="J10:K10"/>
    <mergeCell ref="F22:G22"/>
    <mergeCell ref="B24:C24"/>
    <mergeCell ref="B20:C20"/>
    <mergeCell ref="F20:G20"/>
    <mergeCell ref="B12:C12"/>
    <mergeCell ref="F14:G14"/>
    <mergeCell ref="B16:C16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Женщины</vt:lpstr>
      <vt:lpstr>Мужчины группа А</vt:lpstr>
      <vt:lpstr>Мужчины группа В</vt:lpstr>
      <vt:lpstr>Мужчины группа С</vt:lpstr>
      <vt:lpstr>Мужчины плей-офф</vt:lpstr>
      <vt:lpstr>Двойка-смешанная группа А</vt:lpstr>
      <vt:lpstr>Двойка-смешанная группа В</vt:lpstr>
      <vt:lpstr>Спец.кубок</vt:lpstr>
      <vt:lpstr>Плей офф кубок А</vt:lpstr>
      <vt:lpstr>Плей офф кубок В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2021-05-28T12:55:53Z</cp:lastPrinted>
  <dcterms:created xsi:type="dcterms:W3CDTF">2009-05-19T09:37:33Z</dcterms:created>
  <dcterms:modified xsi:type="dcterms:W3CDTF">2023-09-21T16:27:25Z</dcterms:modified>
</cp:coreProperties>
</file>